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SUDEG\GELIC\GELIC 2020\CPL\PREGÃO\Editais Concluídos\Pregão nº 32-2020 - Apoio SUCON\Nova pasta\"/>
    </mc:Choice>
  </mc:AlternateContent>
  <bookViews>
    <workbookView xWindow="-120" yWindow="-120" windowWidth="20736" windowHeight="11160" tabRatio="1000"/>
  </bookViews>
  <sheets>
    <sheet name="Resumo" sheetId="3" r:id="rId1"/>
    <sheet name="Quadros resumos p TR" sheetId="38" r:id="rId2"/>
    <sheet name="Produtos Grupo A" sheetId="31" r:id="rId3"/>
    <sheet name="Produtos Grupo B" sheetId="32" r:id="rId4"/>
    <sheet name="Produtos Grupo C" sheetId="33" r:id="rId5"/>
    <sheet name="Produtos Grupo D" sheetId="35" r:id="rId6"/>
    <sheet name="Relatorios por grupo de produto" sheetId="8" r:id="rId7"/>
    <sheet name="Custo Gerencial" sheetId="4" r:id="rId8"/>
    <sheet name="Estimativa de horas por produto" sheetId="27" r:id="rId9"/>
    <sheet name="dimensionamento equipe -TR" sheetId="25" r:id="rId10"/>
    <sheet name="Custo mao de obra Dnit" sheetId="28" r:id="rId11"/>
    <sheet name="Custos diversos e BDI - DNIT" sheetId="29" r:id="rId12"/>
    <sheet name="calculo custos diversos" sheetId="30" r:id="rId13"/>
    <sheet name="softwares" sheetId="24" r:id="rId14"/>
  </sheets>
  <definedNames>
    <definedName name="_xlnm._FilterDatabase" localSheetId="2" hidden="1">'Produtos Grupo A'!$L$16:$M$26</definedName>
    <definedName name="_xlnm._FilterDatabase" localSheetId="5" hidden="1">'Produtos Grupo D'!$A$4:$A$21</definedName>
    <definedName name="_xlnm._FilterDatabase" localSheetId="6" hidden="1">'Relatorios por grupo de produto'!$A$5:$A$95</definedName>
    <definedName name="_xlnm.Print_Area" localSheetId="2">'Produtos Grupo A'!$A$1:$F$110</definedName>
    <definedName name="_xlnm.Print_Area" localSheetId="3">'Produtos Grupo B'!$A$1:$F$262</definedName>
    <definedName name="_xlnm.Print_Area" localSheetId="4">'Produtos Grupo C'!$A$1:$F$132</definedName>
    <definedName name="_xlnm.Print_Area" localSheetId="5">'Produtos Grupo D'!$A$1:$F$257</definedName>
    <definedName name="_xlnm.Print_Area" localSheetId="1">'Quadros resumos p TR'!#REF!</definedName>
    <definedName name="_xlnm.Print_Area" localSheetId="6">'Relatorios por grupo de produto'!$A$1:$G$104</definedName>
    <definedName name="_xlnm.Print_Area" localSheetId="0">Resumo!$A$1:$E$66</definedName>
    <definedName name="Pal_Workbook_GUID" hidden="1">"ZJCEKNZZ6MSABE3E4DMF6R63"</definedName>
    <definedName name="RiskIsInput" hidden="1">FALSE</definedName>
    <definedName name="RiskIsOptimization" hidden="1">FALSE</definedName>
    <definedName name="RiskIsOutput" hidden="1">FALSE</definedName>
    <definedName name="RiskIsStatistics" hidden="1">FALSE</definedName>
    <definedName name="solver_adj" localSheetId="2" hidden="1">'Produtos Grupo A'!#REF!</definedName>
    <definedName name="solver_adj" localSheetId="3" hidden="1">'Produtos Grupo B'!#REF!</definedName>
    <definedName name="solver_adj" localSheetId="4" hidden="1">'Produtos Grupo C'!#REF!</definedName>
    <definedName name="solver_adj" localSheetId="5" hidden="1">'Produtos Grupo D'!#REF!</definedName>
    <definedName name="solver_adj" localSheetId="6" hidden="1">'Relatorios por grupo de produto'!#REF!</definedName>
    <definedName name="solver_cvg" localSheetId="2" hidden="1">0.0001</definedName>
    <definedName name="solver_cvg" localSheetId="3" hidden="1">0.0001</definedName>
    <definedName name="solver_cvg" localSheetId="4" hidden="1">0.0001</definedName>
    <definedName name="solver_cvg" localSheetId="5" hidden="1">0.0001</definedName>
    <definedName name="solver_cvg" localSheetId="6" hidden="1">0.0001</definedName>
    <definedName name="solver_drv" localSheetId="2" hidden="1">1</definedName>
    <definedName name="solver_drv" localSheetId="3" hidden="1">1</definedName>
    <definedName name="solver_drv" localSheetId="4" hidden="1">1</definedName>
    <definedName name="solver_drv" localSheetId="5" hidden="1">1</definedName>
    <definedName name="solver_drv" localSheetId="6" hidden="1">1</definedName>
    <definedName name="solver_eng" localSheetId="2" hidden="1">1</definedName>
    <definedName name="solver_eng" localSheetId="3" hidden="1">1</definedName>
    <definedName name="solver_eng" localSheetId="4" hidden="1">1</definedName>
    <definedName name="solver_eng" localSheetId="5" hidden="1">1</definedName>
    <definedName name="solver_eng" localSheetId="6" hidden="1">1</definedName>
    <definedName name="solver_est" localSheetId="2" hidden="1">1</definedName>
    <definedName name="solver_est" localSheetId="3" hidden="1">1</definedName>
    <definedName name="solver_est" localSheetId="4" hidden="1">1</definedName>
    <definedName name="solver_est" localSheetId="5" hidden="1">1</definedName>
    <definedName name="solver_est" localSheetId="6" hidden="1">1</definedName>
    <definedName name="solver_itr" localSheetId="2" hidden="1">2147483647</definedName>
    <definedName name="solver_itr" localSheetId="3" hidden="1">2147483647</definedName>
    <definedName name="solver_itr" localSheetId="4" hidden="1">2147483647</definedName>
    <definedName name="solver_itr" localSheetId="5" hidden="1">2147483647</definedName>
    <definedName name="solver_itr" localSheetId="6" hidden="1">2147483647</definedName>
    <definedName name="solver_mip" localSheetId="2" hidden="1">2147483647</definedName>
    <definedName name="solver_mip" localSheetId="3" hidden="1">2147483647</definedName>
    <definedName name="solver_mip" localSheetId="4" hidden="1">2147483647</definedName>
    <definedName name="solver_mip" localSheetId="5" hidden="1">2147483647</definedName>
    <definedName name="solver_mip" localSheetId="6" hidden="1">2147483647</definedName>
    <definedName name="solver_mni" localSheetId="2" hidden="1">30</definedName>
    <definedName name="solver_mni" localSheetId="3" hidden="1">30</definedName>
    <definedName name="solver_mni" localSheetId="4" hidden="1">30</definedName>
    <definedName name="solver_mni" localSheetId="5" hidden="1">30</definedName>
    <definedName name="solver_mni" localSheetId="6" hidden="1">30</definedName>
    <definedName name="solver_mrt" localSheetId="2" hidden="1">0.075</definedName>
    <definedName name="solver_mrt" localSheetId="3" hidden="1">0.075</definedName>
    <definedName name="solver_mrt" localSheetId="4" hidden="1">0.075</definedName>
    <definedName name="solver_mrt" localSheetId="5" hidden="1">0.075</definedName>
    <definedName name="solver_mrt" localSheetId="6" hidden="1">0.075</definedName>
    <definedName name="solver_msl" localSheetId="2" hidden="1">2</definedName>
    <definedName name="solver_msl" localSheetId="3" hidden="1">2</definedName>
    <definedName name="solver_msl" localSheetId="4" hidden="1">2</definedName>
    <definedName name="solver_msl" localSheetId="5" hidden="1">2</definedName>
    <definedName name="solver_msl" localSheetId="6" hidden="1">2</definedName>
    <definedName name="solver_neg" localSheetId="2" hidden="1">1</definedName>
    <definedName name="solver_neg" localSheetId="3" hidden="1">1</definedName>
    <definedName name="solver_neg" localSheetId="4" hidden="1">1</definedName>
    <definedName name="solver_neg" localSheetId="5" hidden="1">1</definedName>
    <definedName name="solver_neg" localSheetId="6" hidden="1">1</definedName>
    <definedName name="solver_nod" localSheetId="2" hidden="1">2147483647</definedName>
    <definedName name="solver_nod" localSheetId="3" hidden="1">2147483647</definedName>
    <definedName name="solver_nod" localSheetId="4" hidden="1">2147483647</definedName>
    <definedName name="solver_nod" localSheetId="5" hidden="1">2147483647</definedName>
    <definedName name="solver_nod" localSheetId="6" hidden="1">2147483647</definedName>
    <definedName name="solver_num" localSheetId="2" hidden="1">0</definedName>
    <definedName name="solver_num" localSheetId="3" hidden="1">0</definedName>
    <definedName name="solver_num" localSheetId="4" hidden="1">0</definedName>
    <definedName name="solver_num" localSheetId="5" hidden="1">0</definedName>
    <definedName name="solver_num" localSheetId="6" hidden="1">0</definedName>
    <definedName name="solver_nwt" localSheetId="2" hidden="1">1</definedName>
    <definedName name="solver_nwt" localSheetId="3" hidden="1">1</definedName>
    <definedName name="solver_nwt" localSheetId="4" hidden="1">1</definedName>
    <definedName name="solver_nwt" localSheetId="5" hidden="1">1</definedName>
    <definedName name="solver_nwt" localSheetId="6" hidden="1">1</definedName>
    <definedName name="solver_opt" localSheetId="2" hidden="1">'Produtos Grupo A'!#REF!</definedName>
    <definedName name="solver_opt" localSheetId="3" hidden="1">'Produtos Grupo B'!#REF!</definedName>
    <definedName name="solver_opt" localSheetId="4" hidden="1">'Produtos Grupo C'!#REF!</definedName>
    <definedName name="solver_opt" localSheetId="5" hidden="1">'Produtos Grupo D'!#REF!</definedName>
    <definedName name="solver_opt" localSheetId="6" hidden="1">'Relatorios por grupo de produto'!#REF!</definedName>
    <definedName name="solver_pre" localSheetId="2" hidden="1">0.000001</definedName>
    <definedName name="solver_pre" localSheetId="3" hidden="1">0.000001</definedName>
    <definedName name="solver_pre" localSheetId="4" hidden="1">0.000001</definedName>
    <definedName name="solver_pre" localSheetId="5" hidden="1">0.000001</definedName>
    <definedName name="solver_pre" localSheetId="6" hidden="1">0.000001</definedName>
    <definedName name="solver_rbv" localSheetId="2" hidden="1">1</definedName>
    <definedName name="solver_rbv" localSheetId="3" hidden="1">1</definedName>
    <definedName name="solver_rbv" localSheetId="4" hidden="1">1</definedName>
    <definedName name="solver_rbv" localSheetId="5" hidden="1">1</definedName>
    <definedName name="solver_rbv" localSheetId="6" hidden="1">1</definedName>
    <definedName name="solver_rlx" localSheetId="2" hidden="1">2</definedName>
    <definedName name="solver_rlx" localSheetId="3" hidden="1">2</definedName>
    <definedName name="solver_rlx" localSheetId="4" hidden="1">2</definedName>
    <definedName name="solver_rlx" localSheetId="5" hidden="1">2</definedName>
    <definedName name="solver_rlx" localSheetId="6" hidden="1">2</definedName>
    <definedName name="solver_rsd" localSheetId="2" hidden="1">0</definedName>
    <definedName name="solver_rsd" localSheetId="3" hidden="1">0</definedName>
    <definedName name="solver_rsd" localSheetId="4" hidden="1">0</definedName>
    <definedName name="solver_rsd" localSheetId="5" hidden="1">0</definedName>
    <definedName name="solver_rsd" localSheetId="6" hidden="1">0</definedName>
    <definedName name="solver_scl" localSheetId="2" hidden="1">1</definedName>
    <definedName name="solver_scl" localSheetId="3" hidden="1">1</definedName>
    <definedName name="solver_scl" localSheetId="4" hidden="1">1</definedName>
    <definedName name="solver_scl" localSheetId="5" hidden="1">1</definedName>
    <definedName name="solver_scl" localSheetId="6" hidden="1">1</definedName>
    <definedName name="solver_sho" localSheetId="2" hidden="1">2</definedName>
    <definedName name="solver_sho" localSheetId="3" hidden="1">2</definedName>
    <definedName name="solver_sho" localSheetId="4" hidden="1">2</definedName>
    <definedName name="solver_sho" localSheetId="5" hidden="1">2</definedName>
    <definedName name="solver_sho" localSheetId="6" hidden="1">2</definedName>
    <definedName name="solver_ssz" localSheetId="2" hidden="1">100</definedName>
    <definedName name="solver_ssz" localSheetId="3" hidden="1">100</definedName>
    <definedName name="solver_ssz" localSheetId="4" hidden="1">100</definedName>
    <definedName name="solver_ssz" localSheetId="5" hidden="1">100</definedName>
    <definedName name="solver_ssz" localSheetId="6" hidden="1">100</definedName>
    <definedName name="solver_tim" localSheetId="2" hidden="1">2147483647</definedName>
    <definedName name="solver_tim" localSheetId="3" hidden="1">2147483647</definedName>
    <definedName name="solver_tim" localSheetId="4" hidden="1">2147483647</definedName>
    <definedName name="solver_tim" localSheetId="5" hidden="1">2147483647</definedName>
    <definedName name="solver_tim" localSheetId="6" hidden="1">2147483647</definedName>
    <definedName name="solver_tol" localSheetId="2" hidden="1">0.01</definedName>
    <definedName name="solver_tol" localSheetId="3" hidden="1">0.01</definedName>
    <definedName name="solver_tol" localSheetId="4" hidden="1">0.01</definedName>
    <definedName name="solver_tol" localSheetId="5" hidden="1">0.01</definedName>
    <definedName name="solver_tol" localSheetId="6" hidden="1">0.01</definedName>
    <definedName name="solver_typ" localSheetId="2" hidden="1">3</definedName>
    <definedName name="solver_typ" localSheetId="3" hidden="1">3</definedName>
    <definedName name="solver_typ" localSheetId="4" hidden="1">3</definedName>
    <definedName name="solver_typ" localSheetId="5" hidden="1">3</definedName>
    <definedName name="solver_typ" localSheetId="6" hidden="1">3</definedName>
    <definedName name="solver_val" localSheetId="2" hidden="1">7.2</definedName>
    <definedName name="solver_val" localSheetId="3" hidden="1">7.2</definedName>
    <definedName name="solver_val" localSheetId="4" hidden="1">7.2</definedName>
    <definedName name="solver_val" localSheetId="5" hidden="1">7.2</definedName>
    <definedName name="solver_val" localSheetId="6" hidden="1">7.2</definedName>
    <definedName name="solver_ver" localSheetId="2" hidden="1">3</definedName>
    <definedName name="solver_ver" localSheetId="3" hidden="1">3</definedName>
    <definedName name="solver_ver" localSheetId="4" hidden="1">3</definedName>
    <definedName name="solver_ver" localSheetId="5" hidden="1">3</definedName>
    <definedName name="solver_ver" localSheetId="6" hidden="1">3</definedName>
    <definedName name="_xlnm.Print_Titles" localSheetId="2">'Produtos Grupo A'!$1:$4</definedName>
    <definedName name="_xlnm.Print_Titles" localSheetId="3">'Produtos Grupo B'!$1:$2</definedName>
    <definedName name="_xlnm.Print_Titles" localSheetId="4">'Produtos Grupo C'!$1:$2</definedName>
    <definedName name="_xlnm.Print_Titles" localSheetId="5">'Produtos Grupo D'!$1:$2</definedName>
    <definedName name="_xlnm.Print_Titles" localSheetId="6">'Relatorios por grupo de produto'!$1:$2</definedName>
    <definedName name="_xlnm.Print_Titles" localSheetId="0">Resumo!$1:$5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1" i="3" l="1"/>
  <c r="D51" i="3"/>
  <c r="D9" i="35"/>
  <c r="D253" i="35"/>
  <c r="D252" i="35"/>
  <c r="D251" i="35"/>
  <c r="D236" i="35"/>
  <c r="D235" i="35"/>
  <c r="D234" i="35"/>
  <c r="D219" i="35"/>
  <c r="D218" i="35"/>
  <c r="D217" i="35"/>
  <c r="D202" i="35"/>
  <c r="D201" i="35"/>
  <c r="D200" i="35"/>
  <c r="D185" i="35"/>
  <c r="D184" i="35"/>
  <c r="D183" i="35"/>
  <c r="D168" i="35"/>
  <c r="D167" i="35"/>
  <c r="D166" i="35"/>
  <c r="D151" i="35"/>
  <c r="D150" i="35"/>
  <c r="D149" i="35"/>
  <c r="D134" i="35"/>
  <c r="D133" i="35"/>
  <c r="D132" i="35"/>
  <c r="D117" i="35"/>
  <c r="D116" i="35"/>
  <c r="D115" i="35"/>
  <c r="D100" i="35"/>
  <c r="D99" i="35"/>
  <c r="D98" i="35"/>
  <c r="D83" i="35"/>
  <c r="D82" i="35"/>
  <c r="D81" i="35"/>
  <c r="D66" i="35"/>
  <c r="D64" i="35"/>
  <c r="D65" i="35"/>
  <c r="D49" i="35"/>
  <c r="D48" i="35"/>
  <c r="D47" i="35"/>
  <c r="D32" i="35"/>
  <c r="D31" i="35"/>
  <c r="D30" i="35"/>
  <c r="D19" i="32"/>
  <c r="D18" i="32"/>
  <c r="D17" i="32"/>
  <c r="D16" i="32"/>
  <c r="D15" i="32"/>
  <c r="D14" i="32"/>
  <c r="D13" i="32"/>
  <c r="D12" i="32"/>
  <c r="D11" i="32"/>
  <c r="D10" i="32"/>
  <c r="D9" i="32"/>
  <c r="D258" i="32"/>
  <c r="D257" i="32"/>
  <c r="D256" i="32"/>
  <c r="D232" i="32"/>
  <c r="D231" i="32"/>
  <c r="D230" i="32"/>
  <c r="D206" i="32"/>
  <c r="D205" i="32"/>
  <c r="D204" i="32"/>
  <c r="D180" i="32"/>
  <c r="D179" i="32"/>
  <c r="D178" i="32"/>
  <c r="D154" i="32"/>
  <c r="D153" i="32"/>
  <c r="D152" i="32"/>
  <c r="D128" i="32"/>
  <c r="D127" i="32"/>
  <c r="D126" i="32"/>
  <c r="D102" i="32"/>
  <c r="D101" i="32"/>
  <c r="D100" i="32"/>
  <c r="D76" i="32"/>
  <c r="D75" i="32"/>
  <c r="D74" i="32"/>
  <c r="D22" i="31"/>
  <c r="D105" i="31"/>
  <c r="D104" i="31"/>
  <c r="D103" i="31"/>
  <c r="D78" i="31"/>
  <c r="D77" i="31"/>
  <c r="D76" i="31"/>
  <c r="D51" i="31"/>
  <c r="D50" i="31"/>
  <c r="D49" i="31"/>
  <c r="E5" i="38"/>
  <c r="C16" i="30" l="1"/>
  <c r="F47" i="32"/>
  <c r="F21" i="31"/>
  <c r="F45" i="8"/>
  <c r="F19" i="8"/>
  <c r="G61" i="38" l="1"/>
  <c r="G60" i="38"/>
  <c r="G59" i="38"/>
  <c r="G58" i="38"/>
  <c r="G57" i="38"/>
  <c r="G56" i="38"/>
  <c r="G55" i="38"/>
  <c r="G54" i="38"/>
  <c r="G53" i="38"/>
  <c r="G52" i="38"/>
  <c r="G51" i="38"/>
  <c r="G50" i="38"/>
  <c r="G49" i="38"/>
  <c r="G48" i="38"/>
  <c r="G47" i="38"/>
  <c r="A45" i="38"/>
  <c r="G41" i="38"/>
  <c r="G40" i="38"/>
  <c r="G39" i="38"/>
  <c r="G38" i="38"/>
  <c r="G37" i="38"/>
  <c r="A35" i="38"/>
  <c r="G32" i="38"/>
  <c r="G31" i="38"/>
  <c r="G30" i="38"/>
  <c r="G29" i="38"/>
  <c r="G28" i="38"/>
  <c r="G27" i="38"/>
  <c r="G26" i="38"/>
  <c r="G25" i="38"/>
  <c r="G24" i="38"/>
  <c r="G23" i="38"/>
  <c r="G18" i="38"/>
  <c r="G17" i="38"/>
  <c r="G16" i="38"/>
  <c r="G15" i="38"/>
  <c r="D10" i="38"/>
  <c r="B10" i="38"/>
  <c r="B9" i="38"/>
  <c r="A9" i="38"/>
  <c r="B8" i="38"/>
  <c r="A8" i="38"/>
  <c r="B7" i="38"/>
  <c r="A7" i="38"/>
  <c r="B6" i="38"/>
  <c r="A6" i="38"/>
  <c r="D5" i="38"/>
  <c r="A5" i="38"/>
  <c r="B4" i="38"/>
  <c r="A4" i="38"/>
  <c r="A3" i="38"/>
  <c r="D247" i="35"/>
  <c r="D255" i="35" s="1"/>
  <c r="D230" i="35"/>
  <c r="F230" i="35" s="1"/>
  <c r="F229" i="35" s="1"/>
  <c r="D213" i="35"/>
  <c r="D196" i="35"/>
  <c r="D179" i="35"/>
  <c r="D162" i="35"/>
  <c r="D145" i="35"/>
  <c r="D128" i="35"/>
  <c r="D111" i="35"/>
  <c r="D94" i="35"/>
  <c r="D77" i="35"/>
  <c r="D60" i="35"/>
  <c r="D43" i="35"/>
  <c r="D26" i="35"/>
  <c r="C14" i="3"/>
  <c r="A245" i="35"/>
  <c r="A228" i="35"/>
  <c r="A211" i="35"/>
  <c r="A194" i="35"/>
  <c r="A177" i="35"/>
  <c r="A160" i="35"/>
  <c r="A143" i="35"/>
  <c r="A126" i="35"/>
  <c r="A109" i="35"/>
  <c r="A92" i="35"/>
  <c r="A75" i="35"/>
  <c r="A58" i="35"/>
  <c r="A41" i="35"/>
  <c r="A24" i="35"/>
  <c r="A7" i="35"/>
  <c r="F65" i="3"/>
  <c r="F64" i="3"/>
  <c r="F63" i="3"/>
  <c r="F62" i="3"/>
  <c r="F61" i="3"/>
  <c r="F60" i="3"/>
  <c r="F59" i="3"/>
  <c r="F58" i="3"/>
  <c r="F57" i="3"/>
  <c r="F56" i="3"/>
  <c r="F55" i="3"/>
  <c r="F54" i="3"/>
  <c r="F53" i="3"/>
  <c r="F52" i="3"/>
  <c r="F51" i="3"/>
  <c r="A49" i="3"/>
  <c r="A111" i="33"/>
  <c r="A85" i="33"/>
  <c r="A59" i="33"/>
  <c r="A33" i="33"/>
  <c r="A7" i="33"/>
  <c r="F45" i="3"/>
  <c r="F44" i="3"/>
  <c r="F43" i="3"/>
  <c r="F42" i="3"/>
  <c r="F41" i="3"/>
  <c r="A39" i="3"/>
  <c r="A187" i="32"/>
  <c r="A241" i="32"/>
  <c r="A215" i="32"/>
  <c r="A189" i="32"/>
  <c r="A163" i="32"/>
  <c r="A137" i="32"/>
  <c r="A111" i="32"/>
  <c r="A85" i="32"/>
  <c r="A59" i="32"/>
  <c r="A33" i="32"/>
  <c r="A7" i="32"/>
  <c r="F36" i="3"/>
  <c r="F35" i="3"/>
  <c r="F34" i="3"/>
  <c r="F33" i="3"/>
  <c r="F32" i="3"/>
  <c r="F31" i="3"/>
  <c r="F30" i="3"/>
  <c r="F29" i="3"/>
  <c r="F28" i="3"/>
  <c r="F27" i="3"/>
  <c r="A88" i="31"/>
  <c r="A61" i="31"/>
  <c r="A34" i="31"/>
  <c r="F22" i="3"/>
  <c r="F21" i="3"/>
  <c r="F20" i="3"/>
  <c r="F19" i="3"/>
  <c r="A7" i="31"/>
  <c r="B243" i="35"/>
  <c r="B245" i="35" s="1"/>
  <c r="B226" i="35"/>
  <c r="B228" i="35" s="1"/>
  <c r="B209" i="35"/>
  <c r="B211" i="35" s="1"/>
  <c r="B192" i="35"/>
  <c r="B194" i="35" s="1"/>
  <c r="B175" i="35"/>
  <c r="B177" i="35" s="1"/>
  <c r="B158" i="35"/>
  <c r="B160" i="35" s="1"/>
  <c r="B141" i="35"/>
  <c r="B143" i="35" s="1"/>
  <c r="B124" i="35"/>
  <c r="B126" i="35" s="1"/>
  <c r="B107" i="35"/>
  <c r="B109" i="35" s="1"/>
  <c r="B90" i="35"/>
  <c r="B92" i="35" s="1"/>
  <c r="B73" i="35"/>
  <c r="B75" i="35" s="1"/>
  <c r="B56" i="35"/>
  <c r="B58" i="35" s="1"/>
  <c r="B39" i="35"/>
  <c r="B41" i="35" s="1"/>
  <c r="B22" i="35"/>
  <c r="B5" i="35"/>
  <c r="B7" i="35" s="1"/>
  <c r="K19" i="35"/>
  <c r="K18" i="35"/>
  <c r="K17" i="35"/>
  <c r="K16" i="35"/>
  <c r="K15" i="35"/>
  <c r="K14" i="35"/>
  <c r="K13" i="35"/>
  <c r="K12" i="35"/>
  <c r="K11" i="35"/>
  <c r="K10" i="35"/>
  <c r="K9" i="35"/>
  <c r="K8" i="35"/>
  <c r="K7" i="35"/>
  <c r="K6" i="35"/>
  <c r="K5" i="35"/>
  <c r="A243" i="35"/>
  <c r="A226" i="35"/>
  <c r="A209" i="35"/>
  <c r="A192" i="35"/>
  <c r="A175" i="35"/>
  <c r="A158" i="35"/>
  <c r="A141" i="35"/>
  <c r="A124" i="35"/>
  <c r="A107" i="35"/>
  <c r="A90" i="35"/>
  <c r="A73" i="35"/>
  <c r="A56" i="35"/>
  <c r="A39" i="35"/>
  <c r="E253" i="35"/>
  <c r="F253" i="35"/>
  <c r="E252" i="35"/>
  <c r="F252" i="35"/>
  <c r="F251" i="35"/>
  <c r="E251" i="35"/>
  <c r="F247" i="35"/>
  <c r="F246" i="35" s="1"/>
  <c r="E247" i="35"/>
  <c r="E236" i="35"/>
  <c r="F236" i="35"/>
  <c r="E235" i="35"/>
  <c r="F235" i="35"/>
  <c r="F234" i="35"/>
  <c r="E234" i="35"/>
  <c r="E230" i="35"/>
  <c r="D238" i="35"/>
  <c r="E219" i="35"/>
  <c r="F219" i="35"/>
  <c r="E218" i="35"/>
  <c r="F218" i="35"/>
  <c r="F217" i="35"/>
  <c r="E217" i="35"/>
  <c r="F213" i="35"/>
  <c r="F212" i="35" s="1"/>
  <c r="E213" i="35"/>
  <c r="D221" i="35"/>
  <c r="E202" i="35"/>
  <c r="F202" i="35"/>
  <c r="E201" i="35"/>
  <c r="F201" i="35"/>
  <c r="F200" i="35"/>
  <c r="E200" i="35"/>
  <c r="F196" i="35"/>
  <c r="F195" i="35" s="1"/>
  <c r="E196" i="35"/>
  <c r="D204" i="35"/>
  <c r="E185" i="35"/>
  <c r="F185" i="35"/>
  <c r="E184" i="35"/>
  <c r="F184" i="35"/>
  <c r="F183" i="35"/>
  <c r="F182" i="35" s="1"/>
  <c r="E183" i="35"/>
  <c r="F179" i="35"/>
  <c r="F178" i="35" s="1"/>
  <c r="E179" i="35"/>
  <c r="D187" i="35"/>
  <c r="E168" i="35"/>
  <c r="F168" i="35"/>
  <c r="E167" i="35"/>
  <c r="F167" i="35"/>
  <c r="F166" i="35"/>
  <c r="E166" i="35"/>
  <c r="F162" i="35"/>
  <c r="F161" i="35" s="1"/>
  <c r="E162" i="35"/>
  <c r="D170" i="35"/>
  <c r="E151" i="35"/>
  <c r="F151" i="35"/>
  <c r="E150" i="35"/>
  <c r="F150" i="35"/>
  <c r="F149" i="35"/>
  <c r="E149" i="35"/>
  <c r="F145" i="35"/>
  <c r="F144" i="35" s="1"/>
  <c r="E145" i="35"/>
  <c r="D153" i="35"/>
  <c r="E134" i="35"/>
  <c r="F134" i="35"/>
  <c r="E133" i="35"/>
  <c r="F133" i="35"/>
  <c r="F132" i="35"/>
  <c r="E132" i="35"/>
  <c r="F128" i="35"/>
  <c r="F127" i="35" s="1"/>
  <c r="E128" i="35"/>
  <c r="D136" i="35"/>
  <c r="E117" i="35"/>
  <c r="F117" i="35"/>
  <c r="E116" i="35"/>
  <c r="F116" i="35"/>
  <c r="F115" i="35"/>
  <c r="E115" i="35"/>
  <c r="F111" i="35"/>
  <c r="F110" i="35" s="1"/>
  <c r="E111" i="35"/>
  <c r="D119" i="35"/>
  <c r="E100" i="35"/>
  <c r="F100" i="35"/>
  <c r="E99" i="35"/>
  <c r="F99" i="35"/>
  <c r="F98" i="35"/>
  <c r="E98" i="35"/>
  <c r="F94" i="35"/>
  <c r="F93" i="35" s="1"/>
  <c r="E94" i="35"/>
  <c r="D102" i="35"/>
  <c r="E83" i="35"/>
  <c r="F83" i="35"/>
  <c r="E82" i="35"/>
  <c r="F82" i="35"/>
  <c r="E81" i="35"/>
  <c r="F77" i="35"/>
  <c r="F76" i="35" s="1"/>
  <c r="E77" i="35"/>
  <c r="D85" i="35"/>
  <c r="E66" i="35"/>
  <c r="F66" i="35"/>
  <c r="E65" i="35"/>
  <c r="F65" i="35"/>
  <c r="E64" i="35"/>
  <c r="F60" i="35"/>
  <c r="F59" i="35" s="1"/>
  <c r="E60" i="35"/>
  <c r="D68" i="35"/>
  <c r="E49" i="35"/>
  <c r="F49" i="35"/>
  <c r="E48" i="35"/>
  <c r="F48" i="35"/>
  <c r="F47" i="35"/>
  <c r="E47" i="35"/>
  <c r="F43" i="35"/>
  <c r="F42" i="35" s="1"/>
  <c r="E43" i="35"/>
  <c r="D51" i="35"/>
  <c r="B24" i="35"/>
  <c r="A22" i="35"/>
  <c r="E32" i="35"/>
  <c r="E31" i="35"/>
  <c r="E30" i="35"/>
  <c r="E26" i="35"/>
  <c r="D34" i="35"/>
  <c r="A5" i="35"/>
  <c r="E15" i="35"/>
  <c r="E14" i="35"/>
  <c r="E13" i="35"/>
  <c r="E9" i="35"/>
  <c r="D123" i="33"/>
  <c r="D122" i="33"/>
  <c r="D121" i="33"/>
  <c r="D120" i="33"/>
  <c r="D119" i="33"/>
  <c r="D118" i="33"/>
  <c r="D117" i="33"/>
  <c r="D116" i="33"/>
  <c r="D115" i="33"/>
  <c r="D114" i="33"/>
  <c r="F114" i="33" s="1"/>
  <c r="D113" i="33"/>
  <c r="D97" i="33"/>
  <c r="D96" i="33"/>
  <c r="D95" i="33"/>
  <c r="D94" i="33"/>
  <c r="D93" i="33"/>
  <c r="D92" i="33"/>
  <c r="D91" i="33"/>
  <c r="D90" i="33"/>
  <c r="F90" i="33" s="1"/>
  <c r="D89" i="33"/>
  <c r="D88" i="33"/>
  <c r="D87" i="33"/>
  <c r="D71" i="33"/>
  <c r="D70" i="33"/>
  <c r="D69" i="33"/>
  <c r="F69" i="33" s="1"/>
  <c r="D68" i="33"/>
  <c r="F68" i="33" s="1"/>
  <c r="D67" i="33"/>
  <c r="D66" i="33"/>
  <c r="D65" i="33"/>
  <c r="D64" i="33"/>
  <c r="F64" i="33" s="1"/>
  <c r="D63" i="33"/>
  <c r="D62" i="33"/>
  <c r="D61" i="33"/>
  <c r="D45" i="33"/>
  <c r="D44" i="33"/>
  <c r="D43" i="33"/>
  <c r="F43" i="33" s="1"/>
  <c r="D42" i="33"/>
  <c r="D41" i="33"/>
  <c r="D40" i="33"/>
  <c r="D39" i="33"/>
  <c r="F39" i="33" s="1"/>
  <c r="D38" i="33"/>
  <c r="F38" i="33" s="1"/>
  <c r="D37" i="33"/>
  <c r="D36" i="33"/>
  <c r="D35" i="33"/>
  <c r="A109" i="33"/>
  <c r="B109" i="33"/>
  <c r="B111" i="33" s="1"/>
  <c r="E128" i="33"/>
  <c r="D128" i="33"/>
  <c r="F128" i="33" s="1"/>
  <c r="E127" i="33"/>
  <c r="D127" i="33"/>
  <c r="F127" i="33" s="1"/>
  <c r="F126" i="33"/>
  <c r="F125" i="33" s="1"/>
  <c r="E126" i="33"/>
  <c r="D126" i="33"/>
  <c r="F123" i="33"/>
  <c r="E123" i="33"/>
  <c r="E122" i="33"/>
  <c r="F122" i="33"/>
  <c r="E121" i="33"/>
  <c r="F121" i="33"/>
  <c r="E120" i="33"/>
  <c r="F120" i="33" s="1"/>
  <c r="F119" i="33"/>
  <c r="E119" i="33"/>
  <c r="E118" i="33"/>
  <c r="F118" i="33"/>
  <c r="E117" i="33"/>
  <c r="F117" i="33"/>
  <c r="E116" i="33"/>
  <c r="F116" i="33" s="1"/>
  <c r="F115" i="33"/>
  <c r="E115" i="33"/>
  <c r="E114" i="33"/>
  <c r="E113" i="33"/>
  <c r="D130" i="33"/>
  <c r="A83" i="33"/>
  <c r="B83" i="33"/>
  <c r="E102" i="33"/>
  <c r="D102" i="33"/>
  <c r="F102" i="33" s="1"/>
  <c r="E101" i="33"/>
  <c r="D101" i="33"/>
  <c r="F101" i="33" s="1"/>
  <c r="F100" i="33"/>
  <c r="E100" i="33"/>
  <c r="D100" i="33"/>
  <c r="F97" i="33"/>
  <c r="E97" i="33"/>
  <c r="E96" i="33"/>
  <c r="F96" i="33"/>
  <c r="E95" i="33"/>
  <c r="F95" i="33"/>
  <c r="E94" i="33"/>
  <c r="F93" i="33"/>
  <c r="E93" i="33"/>
  <c r="E92" i="33"/>
  <c r="F92" i="33"/>
  <c r="E91" i="33"/>
  <c r="F91" i="33"/>
  <c r="E90" i="33"/>
  <c r="F89" i="33"/>
  <c r="E89" i="33"/>
  <c r="E88" i="33"/>
  <c r="F88" i="33"/>
  <c r="E87" i="33"/>
  <c r="B85" i="33"/>
  <c r="B57" i="33"/>
  <c r="B59" i="33" s="1"/>
  <c r="A57" i="33"/>
  <c r="E76" i="33"/>
  <c r="D76" i="33"/>
  <c r="F76" i="33" s="1"/>
  <c r="E75" i="33"/>
  <c r="D75" i="33"/>
  <c r="F75" i="33" s="1"/>
  <c r="F74" i="33"/>
  <c r="F73" i="33" s="1"/>
  <c r="E74" i="33"/>
  <c r="D74" i="33"/>
  <c r="F71" i="33"/>
  <c r="E71" i="33"/>
  <c r="E70" i="33"/>
  <c r="F70" i="33" s="1"/>
  <c r="E69" i="33"/>
  <c r="E68" i="33"/>
  <c r="F67" i="33"/>
  <c r="E67" i="33"/>
  <c r="E66" i="33"/>
  <c r="F66" i="33" s="1"/>
  <c r="E65" i="33"/>
  <c r="F65" i="33"/>
  <c r="E64" i="33"/>
  <c r="F63" i="33"/>
  <c r="E63" i="33"/>
  <c r="E62" i="33"/>
  <c r="F62" i="33" s="1"/>
  <c r="E61" i="33"/>
  <c r="B31" i="33"/>
  <c r="A31" i="33"/>
  <c r="E50" i="33"/>
  <c r="D50" i="33"/>
  <c r="F50" i="33" s="1"/>
  <c r="E49" i="33"/>
  <c r="D49" i="33"/>
  <c r="F49" i="33" s="1"/>
  <c r="F48" i="33"/>
  <c r="E48" i="33"/>
  <c r="D48" i="33"/>
  <c r="F45" i="33"/>
  <c r="E45" i="33"/>
  <c r="E44" i="33"/>
  <c r="F44" i="33"/>
  <c r="E43" i="33"/>
  <c r="E42" i="33"/>
  <c r="F42" i="33"/>
  <c r="F41" i="33"/>
  <c r="E41" i="33"/>
  <c r="E40" i="33"/>
  <c r="F40" i="33"/>
  <c r="E39" i="33"/>
  <c r="E38" i="33"/>
  <c r="F37" i="33"/>
  <c r="E37" i="33"/>
  <c r="E36" i="33"/>
  <c r="F36" i="33"/>
  <c r="E35" i="33"/>
  <c r="B33" i="33"/>
  <c r="D19" i="33"/>
  <c r="D18" i="33"/>
  <c r="D17" i="33"/>
  <c r="D16" i="33"/>
  <c r="F16" i="33" s="1"/>
  <c r="D15" i="33"/>
  <c r="D14" i="33"/>
  <c r="D13" i="33"/>
  <c r="D12" i="33"/>
  <c r="D11" i="33"/>
  <c r="D10" i="33"/>
  <c r="D9" i="33"/>
  <c r="B5" i="33"/>
  <c r="A5" i="33"/>
  <c r="E24" i="33"/>
  <c r="E23" i="33"/>
  <c r="E22" i="33"/>
  <c r="E19" i="33"/>
  <c r="F19" i="33" s="1"/>
  <c r="E18" i="33"/>
  <c r="F18" i="33"/>
  <c r="E17" i="33"/>
  <c r="E16" i="33"/>
  <c r="E15" i="33"/>
  <c r="F15" i="33" s="1"/>
  <c r="E14" i="33"/>
  <c r="F14" i="33"/>
  <c r="E13" i="33"/>
  <c r="E12" i="33"/>
  <c r="E11" i="33"/>
  <c r="E10" i="33"/>
  <c r="E9" i="33"/>
  <c r="B7" i="33"/>
  <c r="B239" i="32"/>
  <c r="B241" i="32" s="1"/>
  <c r="A239" i="32"/>
  <c r="A213" i="32"/>
  <c r="B213" i="32"/>
  <c r="B187" i="32"/>
  <c r="B189" i="32" s="1"/>
  <c r="B161" i="32"/>
  <c r="B163" i="32" s="1"/>
  <c r="A161" i="32"/>
  <c r="A135" i="32"/>
  <c r="B135" i="32"/>
  <c r="B137" i="32" s="1"/>
  <c r="A109" i="32"/>
  <c r="B109" i="32"/>
  <c r="B83" i="32"/>
  <c r="A83" i="32"/>
  <c r="B57" i="32"/>
  <c r="A57" i="32"/>
  <c r="B31" i="32"/>
  <c r="A31" i="32"/>
  <c r="B5" i="32"/>
  <c r="B7" i="32" s="1"/>
  <c r="A5" i="32"/>
  <c r="L6" i="32"/>
  <c r="L7" i="32" s="1"/>
  <c r="L8" i="32" s="1"/>
  <c r="L9" i="32" s="1"/>
  <c r="L10" i="32" s="1"/>
  <c r="L11" i="32" s="1"/>
  <c r="L12" i="32" s="1"/>
  <c r="L13" i="32" s="1"/>
  <c r="L14" i="32" s="1"/>
  <c r="E24" i="32"/>
  <c r="E23" i="32"/>
  <c r="E22" i="32"/>
  <c r="E19" i="32"/>
  <c r="F19" i="32"/>
  <c r="E18" i="32"/>
  <c r="E17" i="32"/>
  <c r="F17" i="32"/>
  <c r="E16" i="32"/>
  <c r="F16" i="32" s="1"/>
  <c r="E15" i="32"/>
  <c r="F15" i="32"/>
  <c r="E14" i="32"/>
  <c r="F14" i="32"/>
  <c r="E13" i="32"/>
  <c r="F13" i="32"/>
  <c r="E12" i="32"/>
  <c r="F12" i="32"/>
  <c r="F11" i="32"/>
  <c r="E11" i="32"/>
  <c r="E10" i="32"/>
  <c r="F10" i="32"/>
  <c r="E9" i="32"/>
  <c r="D253" i="32"/>
  <c r="F253" i="32" s="1"/>
  <c r="D252" i="32"/>
  <c r="D251" i="32"/>
  <c r="D250" i="32"/>
  <c r="D249" i="32"/>
  <c r="D248" i="32"/>
  <c r="D247" i="32"/>
  <c r="D246" i="32"/>
  <c r="D245" i="32"/>
  <c r="D244" i="32"/>
  <c r="D243" i="32"/>
  <c r="E258" i="32"/>
  <c r="E257" i="32"/>
  <c r="E256" i="32"/>
  <c r="E253" i="32"/>
  <c r="E252" i="32"/>
  <c r="F252" i="32" s="1"/>
  <c r="E251" i="32"/>
  <c r="E250" i="32"/>
  <c r="E249" i="32"/>
  <c r="F249" i="32" s="1"/>
  <c r="E248" i="32"/>
  <c r="F248" i="32" s="1"/>
  <c r="E247" i="32"/>
  <c r="E246" i="32"/>
  <c r="E245" i="32"/>
  <c r="F245" i="32" s="1"/>
  <c r="E244" i="32"/>
  <c r="F244" i="32" s="1"/>
  <c r="E243" i="32"/>
  <c r="D227" i="32"/>
  <c r="D226" i="32"/>
  <c r="D225" i="32"/>
  <c r="D224" i="32"/>
  <c r="D223" i="32"/>
  <c r="D222" i="32"/>
  <c r="D221" i="32"/>
  <c r="D220" i="32"/>
  <c r="D219" i="32"/>
  <c r="D218" i="32"/>
  <c r="D217" i="32"/>
  <c r="E232" i="32"/>
  <c r="E231" i="32"/>
  <c r="E230" i="32"/>
  <c r="E227" i="32"/>
  <c r="E226" i="32"/>
  <c r="F226" i="32" s="1"/>
  <c r="E225" i="32"/>
  <c r="E224" i="32"/>
  <c r="E223" i="32"/>
  <c r="E222" i="32"/>
  <c r="E221" i="32"/>
  <c r="E220" i="32"/>
  <c r="E219" i="32"/>
  <c r="E218" i="32"/>
  <c r="E217" i="32"/>
  <c r="B215" i="32"/>
  <c r="D201" i="32"/>
  <c r="D200" i="32"/>
  <c r="D199" i="32"/>
  <c r="D198" i="32"/>
  <c r="D197" i="32"/>
  <c r="D196" i="32"/>
  <c r="D195" i="32"/>
  <c r="D194" i="32"/>
  <c r="D193" i="32"/>
  <c r="D192" i="32"/>
  <c r="D191" i="32"/>
  <c r="E206" i="32"/>
  <c r="E205" i="32"/>
  <c r="E204" i="32"/>
  <c r="E201" i="32"/>
  <c r="E200" i="32"/>
  <c r="E199" i="32"/>
  <c r="E198" i="32"/>
  <c r="E197" i="32"/>
  <c r="E196" i="32"/>
  <c r="E195" i="32"/>
  <c r="E194" i="32"/>
  <c r="E193" i="32"/>
  <c r="E192" i="32"/>
  <c r="E191" i="32"/>
  <c r="D175" i="32"/>
  <c r="D174" i="32"/>
  <c r="D173" i="32"/>
  <c r="D172" i="32"/>
  <c r="D171" i="32"/>
  <c r="D170" i="32"/>
  <c r="D169" i="32"/>
  <c r="D168" i="32"/>
  <c r="D167" i="32"/>
  <c r="D165" i="32"/>
  <c r="D166" i="32"/>
  <c r="E180" i="32"/>
  <c r="E179" i="32"/>
  <c r="E178" i="32"/>
  <c r="E175" i="32"/>
  <c r="E174" i="32"/>
  <c r="E173" i="32"/>
  <c r="E172" i="32"/>
  <c r="E171" i="32"/>
  <c r="E170" i="32"/>
  <c r="E169" i="32"/>
  <c r="E168" i="32"/>
  <c r="F168" i="32" s="1"/>
  <c r="E167" i="32"/>
  <c r="E166" i="32"/>
  <c r="E165" i="32"/>
  <c r="D149" i="32"/>
  <c r="D148" i="32"/>
  <c r="D147" i="32"/>
  <c r="D146" i="32"/>
  <c r="D145" i="32"/>
  <c r="D144" i="32"/>
  <c r="D143" i="32"/>
  <c r="D142" i="32"/>
  <c r="D141" i="32"/>
  <c r="D140" i="32"/>
  <c r="D139" i="32"/>
  <c r="E154" i="32"/>
  <c r="E153" i="32"/>
  <c r="E152" i="32"/>
  <c r="E149" i="32"/>
  <c r="E148" i="32"/>
  <c r="E147" i="32"/>
  <c r="E146" i="32"/>
  <c r="E145" i="32"/>
  <c r="E144" i="32"/>
  <c r="E143" i="32"/>
  <c r="E142" i="32"/>
  <c r="E141" i="32"/>
  <c r="E140" i="32"/>
  <c r="E139" i="32"/>
  <c r="D123" i="32"/>
  <c r="D122" i="32"/>
  <c r="D121" i="32"/>
  <c r="D120" i="32"/>
  <c r="D119" i="32"/>
  <c r="D118" i="32"/>
  <c r="D117" i="32"/>
  <c r="D116" i="32"/>
  <c r="D115" i="32"/>
  <c r="D114" i="32"/>
  <c r="D113" i="32"/>
  <c r="E128" i="32"/>
  <c r="E127" i="32"/>
  <c r="E126" i="32"/>
  <c r="E123" i="32"/>
  <c r="E122" i="32"/>
  <c r="E121" i="32"/>
  <c r="E120" i="32"/>
  <c r="E119" i="32"/>
  <c r="E118" i="32"/>
  <c r="F118" i="32" s="1"/>
  <c r="E117" i="32"/>
  <c r="E116" i="32"/>
  <c r="E115" i="32"/>
  <c r="E114" i="32"/>
  <c r="E113" i="32"/>
  <c r="B111" i="32"/>
  <c r="D97" i="32"/>
  <c r="D96" i="32"/>
  <c r="D95" i="32"/>
  <c r="D94" i="32"/>
  <c r="D93" i="32"/>
  <c r="D92" i="32"/>
  <c r="D91" i="32"/>
  <c r="D90" i="32"/>
  <c r="D89" i="32"/>
  <c r="D87" i="32"/>
  <c r="D88" i="32"/>
  <c r="D44" i="32"/>
  <c r="E87" i="32"/>
  <c r="E102" i="32"/>
  <c r="E101" i="32"/>
  <c r="E100" i="32"/>
  <c r="E97" i="32"/>
  <c r="E96" i="32"/>
  <c r="E95" i="32"/>
  <c r="E94" i="32"/>
  <c r="E93" i="32"/>
  <c r="E92" i="32"/>
  <c r="E91" i="32"/>
  <c r="E90" i="32"/>
  <c r="E89" i="32"/>
  <c r="E88" i="32"/>
  <c r="B85" i="32"/>
  <c r="D71" i="32"/>
  <c r="D70" i="32"/>
  <c r="D69" i="32"/>
  <c r="D68" i="32"/>
  <c r="D67" i="32"/>
  <c r="D66" i="32"/>
  <c r="D65" i="32"/>
  <c r="D64" i="32"/>
  <c r="D63" i="32"/>
  <c r="D62" i="32"/>
  <c r="D61" i="32"/>
  <c r="D45" i="32"/>
  <c r="D43" i="32"/>
  <c r="D42" i="32"/>
  <c r="D41" i="32"/>
  <c r="D40" i="32"/>
  <c r="D39" i="32"/>
  <c r="D38" i="32"/>
  <c r="D37" i="32"/>
  <c r="D36" i="32"/>
  <c r="D35" i="32"/>
  <c r="E76" i="32"/>
  <c r="E75" i="32"/>
  <c r="E74" i="32"/>
  <c r="E71" i="32"/>
  <c r="E70" i="32"/>
  <c r="E69" i="32"/>
  <c r="E68" i="32"/>
  <c r="E67" i="32"/>
  <c r="E66" i="32"/>
  <c r="E65" i="32"/>
  <c r="F65" i="32" s="1"/>
  <c r="E64" i="32"/>
  <c r="E63" i="32"/>
  <c r="E62" i="32"/>
  <c r="E61" i="32"/>
  <c r="B59" i="32"/>
  <c r="D100" i="31"/>
  <c r="D99" i="31"/>
  <c r="D98" i="31"/>
  <c r="D97" i="31"/>
  <c r="F97" i="31" s="1"/>
  <c r="D96" i="31"/>
  <c r="D95" i="31"/>
  <c r="D94" i="31"/>
  <c r="D93" i="31"/>
  <c r="F93" i="31" s="1"/>
  <c r="D92" i="31"/>
  <c r="D91" i="31"/>
  <c r="D90" i="31"/>
  <c r="D73" i="31"/>
  <c r="D72" i="31"/>
  <c r="D71" i="31"/>
  <c r="D70" i="31"/>
  <c r="F70" i="31" s="1"/>
  <c r="D69" i="31"/>
  <c r="D68" i="31"/>
  <c r="D67" i="31"/>
  <c r="D66" i="31"/>
  <c r="F66" i="31" s="1"/>
  <c r="D65" i="31"/>
  <c r="F65" i="31" s="1"/>
  <c r="D64" i="31"/>
  <c r="D63" i="31"/>
  <c r="D46" i="31"/>
  <c r="D45" i="31"/>
  <c r="D44" i="31"/>
  <c r="D43" i="31"/>
  <c r="D42" i="31"/>
  <c r="D41" i="31"/>
  <c r="D40" i="31"/>
  <c r="D39" i="31"/>
  <c r="D38" i="31"/>
  <c r="D37" i="31"/>
  <c r="D36" i="31"/>
  <c r="D19" i="31"/>
  <c r="D18" i="31"/>
  <c r="D17" i="31"/>
  <c r="D16" i="31"/>
  <c r="D15" i="31"/>
  <c r="D14" i="31"/>
  <c r="D13" i="31"/>
  <c r="D12" i="31"/>
  <c r="D11" i="31"/>
  <c r="D10" i="31"/>
  <c r="C54" i="27"/>
  <c r="C55" i="27" s="1"/>
  <c r="C56" i="27" s="1"/>
  <c r="C57" i="27" s="1"/>
  <c r="C58" i="27" s="1"/>
  <c r="C59" i="27" s="1"/>
  <c r="C60" i="27" s="1"/>
  <c r="C61" i="27" s="1"/>
  <c r="C62" i="27" s="1"/>
  <c r="C63" i="27" s="1"/>
  <c r="C64" i="27" s="1"/>
  <c r="C65" i="27" s="1"/>
  <c r="C66" i="27" s="1"/>
  <c r="C67" i="27" s="1"/>
  <c r="C68" i="27" s="1"/>
  <c r="C69" i="27" s="1"/>
  <c r="C70" i="27" s="1"/>
  <c r="C71" i="27" s="1"/>
  <c r="C72" i="27" s="1"/>
  <c r="C73" i="27" s="1"/>
  <c r="C74" i="27" s="1"/>
  <c r="C75" i="27" s="1"/>
  <c r="C76" i="27" s="1"/>
  <c r="C77" i="27" s="1"/>
  <c r="C78" i="27" s="1"/>
  <c r="C79" i="27" s="1"/>
  <c r="C80" i="27" s="1"/>
  <c r="C81" i="27" s="1"/>
  <c r="C82" i="27" s="1"/>
  <c r="C83" i="27" s="1"/>
  <c r="C84" i="27" s="1"/>
  <c r="C85" i="27" s="1"/>
  <c r="C53" i="27"/>
  <c r="D9" i="31"/>
  <c r="E50" i="32"/>
  <c r="E49" i="32"/>
  <c r="E48" i="32"/>
  <c r="E45" i="32"/>
  <c r="E44" i="32"/>
  <c r="E43" i="32"/>
  <c r="E42" i="32"/>
  <c r="E41" i="32"/>
  <c r="E40" i="32"/>
  <c r="E39" i="32"/>
  <c r="E38" i="32"/>
  <c r="E37" i="32"/>
  <c r="E36" i="32"/>
  <c r="E35" i="32"/>
  <c r="B33" i="32"/>
  <c r="E105" i="31"/>
  <c r="E104" i="31"/>
  <c r="E103" i="31"/>
  <c r="F100" i="31"/>
  <c r="E100" i="31"/>
  <c r="E99" i="31"/>
  <c r="F99" i="31" s="1"/>
  <c r="E98" i="31"/>
  <c r="F98" i="31"/>
  <c r="E97" i="31"/>
  <c r="F96" i="31"/>
  <c r="E96" i="31"/>
  <c r="E95" i="31"/>
  <c r="F95" i="31" s="1"/>
  <c r="E94" i="31"/>
  <c r="F94" i="31"/>
  <c r="E93" i="31"/>
  <c r="F92" i="31"/>
  <c r="E92" i="31"/>
  <c r="E91" i="31"/>
  <c r="F91" i="31" s="1"/>
  <c r="E90" i="31"/>
  <c r="E78" i="31"/>
  <c r="E77" i="31"/>
  <c r="E76" i="31"/>
  <c r="E73" i="31"/>
  <c r="F73" i="31"/>
  <c r="E72" i="31"/>
  <c r="E71" i="31"/>
  <c r="F71" i="31"/>
  <c r="E70" i="31"/>
  <c r="E69" i="31"/>
  <c r="F69" i="31" s="1"/>
  <c r="E68" i="31"/>
  <c r="F68" i="31"/>
  <c r="E67" i="31"/>
  <c r="E66" i="31"/>
  <c r="E65" i="31"/>
  <c r="E64" i="31"/>
  <c r="E63" i="31"/>
  <c r="E51" i="31"/>
  <c r="E50" i="31"/>
  <c r="E49" i="31"/>
  <c r="E46" i="31"/>
  <c r="E45" i="31"/>
  <c r="E44" i="31"/>
  <c r="E43" i="31"/>
  <c r="E42" i="31"/>
  <c r="E41" i="31"/>
  <c r="E40" i="31"/>
  <c r="E39" i="31"/>
  <c r="E38" i="31"/>
  <c r="E37" i="31"/>
  <c r="E36" i="31"/>
  <c r="E24" i="31"/>
  <c r="E23" i="31"/>
  <c r="E22" i="31"/>
  <c r="E19" i="31"/>
  <c r="E18" i="31"/>
  <c r="E17" i="31"/>
  <c r="E16" i="31"/>
  <c r="E15" i="31"/>
  <c r="E14" i="31"/>
  <c r="E13" i="31"/>
  <c r="E12" i="31"/>
  <c r="E11" i="31"/>
  <c r="E10" i="31"/>
  <c r="E9" i="31"/>
  <c r="H7" i="31"/>
  <c r="O77" i="27"/>
  <c r="O83" i="27"/>
  <c r="O85" i="27"/>
  <c r="Q85" i="27"/>
  <c r="P85" i="27"/>
  <c r="N85" i="27"/>
  <c r="M85" i="27"/>
  <c r="L85" i="27"/>
  <c r="K85" i="27"/>
  <c r="J85" i="27"/>
  <c r="I85" i="27"/>
  <c r="H85" i="27"/>
  <c r="G85" i="27"/>
  <c r="F85" i="27"/>
  <c r="Q84" i="27"/>
  <c r="P84" i="27"/>
  <c r="O84" i="27"/>
  <c r="N84" i="27"/>
  <c r="M84" i="27"/>
  <c r="L84" i="27"/>
  <c r="K84" i="27"/>
  <c r="J84" i="27"/>
  <c r="I84" i="27"/>
  <c r="H84" i="27"/>
  <c r="G84" i="27"/>
  <c r="F84" i="27"/>
  <c r="Q83" i="27"/>
  <c r="P83" i="27"/>
  <c r="N83" i="27"/>
  <c r="M83" i="27"/>
  <c r="L83" i="27"/>
  <c r="K83" i="27"/>
  <c r="J83" i="27"/>
  <c r="I83" i="27"/>
  <c r="H83" i="27"/>
  <c r="G83" i="27"/>
  <c r="F83" i="27"/>
  <c r="Q82" i="27"/>
  <c r="P82" i="27"/>
  <c r="O82" i="27"/>
  <c r="N82" i="27"/>
  <c r="M82" i="27"/>
  <c r="L82" i="27"/>
  <c r="K82" i="27"/>
  <c r="J82" i="27"/>
  <c r="I82" i="27"/>
  <c r="H82" i="27"/>
  <c r="G82" i="27"/>
  <c r="F82" i="27"/>
  <c r="Q81" i="27"/>
  <c r="P81" i="27"/>
  <c r="O81" i="27"/>
  <c r="N81" i="27"/>
  <c r="M81" i="27"/>
  <c r="L81" i="27"/>
  <c r="K81" i="27"/>
  <c r="J81" i="27"/>
  <c r="I81" i="27"/>
  <c r="H81" i="27"/>
  <c r="G81" i="27"/>
  <c r="F81" i="27"/>
  <c r="Q80" i="27"/>
  <c r="P80" i="27"/>
  <c r="O80" i="27"/>
  <c r="N80" i="27"/>
  <c r="M80" i="27"/>
  <c r="L80" i="27"/>
  <c r="K80" i="27"/>
  <c r="J80" i="27"/>
  <c r="I80" i="27"/>
  <c r="H80" i="27"/>
  <c r="G80" i="27"/>
  <c r="F80" i="27"/>
  <c r="Q79" i="27"/>
  <c r="P79" i="27"/>
  <c r="O79" i="27"/>
  <c r="N79" i="27"/>
  <c r="M79" i="27"/>
  <c r="L79" i="27"/>
  <c r="K79" i="27"/>
  <c r="J79" i="27"/>
  <c r="I79" i="27"/>
  <c r="H79" i="27"/>
  <c r="G79" i="27"/>
  <c r="F79" i="27"/>
  <c r="Q78" i="27"/>
  <c r="P78" i="27"/>
  <c r="O78" i="27"/>
  <c r="N78" i="27"/>
  <c r="M78" i="27"/>
  <c r="L78" i="27"/>
  <c r="K78" i="27"/>
  <c r="J78" i="27"/>
  <c r="I78" i="27"/>
  <c r="H78" i="27"/>
  <c r="G78" i="27"/>
  <c r="F78" i="27"/>
  <c r="Q77" i="27"/>
  <c r="P77" i="27"/>
  <c r="N77" i="27"/>
  <c r="M77" i="27"/>
  <c r="L77" i="27"/>
  <c r="K77" i="27"/>
  <c r="J77" i="27"/>
  <c r="I77" i="27"/>
  <c r="H77" i="27"/>
  <c r="G77" i="27"/>
  <c r="F77" i="27"/>
  <c r="Q76" i="27"/>
  <c r="P76" i="27"/>
  <c r="O76" i="27"/>
  <c r="N76" i="27"/>
  <c r="M76" i="27"/>
  <c r="L76" i="27"/>
  <c r="K76" i="27"/>
  <c r="J76" i="27"/>
  <c r="I76" i="27"/>
  <c r="H76" i="27"/>
  <c r="G76" i="27"/>
  <c r="F76" i="27"/>
  <c r="Q75" i="27"/>
  <c r="P75" i="27"/>
  <c r="O75" i="27"/>
  <c r="N75" i="27"/>
  <c r="M75" i="27"/>
  <c r="L75" i="27"/>
  <c r="K75" i="27"/>
  <c r="J75" i="27"/>
  <c r="I75" i="27"/>
  <c r="H75" i="27"/>
  <c r="G75" i="27"/>
  <c r="F75" i="27"/>
  <c r="Q74" i="27"/>
  <c r="P74" i="27"/>
  <c r="O74" i="27"/>
  <c r="N74" i="27"/>
  <c r="M74" i="27"/>
  <c r="L74" i="27"/>
  <c r="K74" i="27"/>
  <c r="J74" i="27"/>
  <c r="I74" i="27"/>
  <c r="H74" i="27"/>
  <c r="G74" i="27"/>
  <c r="F74" i="27"/>
  <c r="Q73" i="27"/>
  <c r="P73" i="27"/>
  <c r="O73" i="27"/>
  <c r="N73" i="27"/>
  <c r="M73" i="27"/>
  <c r="L73" i="27"/>
  <c r="K73" i="27"/>
  <c r="J73" i="27"/>
  <c r="I73" i="27"/>
  <c r="H73" i="27"/>
  <c r="G73" i="27"/>
  <c r="F73" i="27"/>
  <c r="Q72" i="27"/>
  <c r="P72" i="27"/>
  <c r="O72" i="27"/>
  <c r="N72" i="27"/>
  <c r="M72" i="27"/>
  <c r="L72" i="27"/>
  <c r="K72" i="27"/>
  <c r="J72" i="27"/>
  <c r="I72" i="27"/>
  <c r="H72" i="27"/>
  <c r="G72" i="27"/>
  <c r="F72" i="27"/>
  <c r="Q71" i="27"/>
  <c r="P71" i="27"/>
  <c r="O71" i="27"/>
  <c r="N71" i="27"/>
  <c r="M71" i="27"/>
  <c r="L71" i="27"/>
  <c r="K71" i="27"/>
  <c r="J71" i="27"/>
  <c r="I71" i="27"/>
  <c r="H71" i="27"/>
  <c r="G71" i="27"/>
  <c r="F71" i="27"/>
  <c r="F36" i="27"/>
  <c r="F35" i="27"/>
  <c r="F34" i="27"/>
  <c r="E74" i="27"/>
  <c r="E75" i="27" s="1"/>
  <c r="E76" i="27" s="1"/>
  <c r="E77" i="27" s="1"/>
  <c r="E78" i="27" s="1"/>
  <c r="E79" i="27" s="1"/>
  <c r="E80" i="27" s="1"/>
  <c r="E81" i="27" s="1"/>
  <c r="E82" i="27" s="1"/>
  <c r="E83" i="27" s="1"/>
  <c r="E84" i="27" s="1"/>
  <c r="E85" i="27" s="1"/>
  <c r="E73" i="27"/>
  <c r="E72" i="27"/>
  <c r="Q70" i="27"/>
  <c r="P70" i="27"/>
  <c r="O70" i="27"/>
  <c r="N70" i="27"/>
  <c r="M70" i="27"/>
  <c r="L70" i="27"/>
  <c r="K70" i="27"/>
  <c r="J70" i="27"/>
  <c r="I70" i="27"/>
  <c r="H70" i="27"/>
  <c r="G70" i="27"/>
  <c r="F70" i="27"/>
  <c r="Q69" i="27"/>
  <c r="P69" i="27"/>
  <c r="O69" i="27"/>
  <c r="N69" i="27"/>
  <c r="M69" i="27"/>
  <c r="L69" i="27"/>
  <c r="K69" i="27"/>
  <c r="J69" i="27"/>
  <c r="I69" i="27"/>
  <c r="H69" i="27"/>
  <c r="G69" i="27"/>
  <c r="F69" i="27"/>
  <c r="Q68" i="27"/>
  <c r="P68" i="27"/>
  <c r="O68" i="27"/>
  <c r="N68" i="27"/>
  <c r="M68" i="27"/>
  <c r="L68" i="27"/>
  <c r="K68" i="27"/>
  <c r="J68" i="27"/>
  <c r="I68" i="27"/>
  <c r="H68" i="27"/>
  <c r="G68" i="27"/>
  <c r="F68" i="27"/>
  <c r="Q67" i="27"/>
  <c r="P67" i="27"/>
  <c r="O67" i="27"/>
  <c r="N67" i="27"/>
  <c r="M67" i="27"/>
  <c r="L67" i="27"/>
  <c r="K67" i="27"/>
  <c r="J67" i="27"/>
  <c r="I67" i="27"/>
  <c r="H67" i="27"/>
  <c r="G67" i="27"/>
  <c r="F67" i="27"/>
  <c r="Q66" i="27"/>
  <c r="P66" i="27"/>
  <c r="O66" i="27"/>
  <c r="N66" i="27"/>
  <c r="M66" i="27"/>
  <c r="L66" i="27"/>
  <c r="K66" i="27"/>
  <c r="J66" i="27"/>
  <c r="I66" i="27"/>
  <c r="H66" i="27"/>
  <c r="G66" i="27"/>
  <c r="F66" i="27"/>
  <c r="F65" i="27"/>
  <c r="F64" i="27"/>
  <c r="F63" i="27"/>
  <c r="F62" i="27"/>
  <c r="F61" i="27"/>
  <c r="F60" i="27"/>
  <c r="F59" i="27"/>
  <c r="F58" i="27"/>
  <c r="F57" i="27"/>
  <c r="F56" i="27"/>
  <c r="Q65" i="27"/>
  <c r="P65" i="27"/>
  <c r="O65" i="27"/>
  <c r="N65" i="27"/>
  <c r="M65" i="27"/>
  <c r="L65" i="27"/>
  <c r="K65" i="27"/>
  <c r="J65" i="27"/>
  <c r="I65" i="27"/>
  <c r="H65" i="27"/>
  <c r="G65" i="27"/>
  <c r="Q64" i="27"/>
  <c r="P64" i="27"/>
  <c r="O64" i="27"/>
  <c r="N64" i="27"/>
  <c r="M64" i="27"/>
  <c r="L64" i="27"/>
  <c r="K64" i="27"/>
  <c r="J64" i="27"/>
  <c r="I64" i="27"/>
  <c r="H64" i="27"/>
  <c r="G64" i="27"/>
  <c r="Q63" i="27"/>
  <c r="P63" i="27"/>
  <c r="O63" i="27"/>
  <c r="N63" i="27"/>
  <c r="M63" i="27"/>
  <c r="L63" i="27"/>
  <c r="K63" i="27"/>
  <c r="J63" i="27"/>
  <c r="I63" i="27"/>
  <c r="H63" i="27"/>
  <c r="G63" i="27"/>
  <c r="Q62" i="27"/>
  <c r="P62" i="27"/>
  <c r="O62" i="27"/>
  <c r="N62" i="27"/>
  <c r="M62" i="27"/>
  <c r="L62" i="27"/>
  <c r="K62" i="27"/>
  <c r="J62" i="27"/>
  <c r="I62" i="27"/>
  <c r="H62" i="27"/>
  <c r="G62" i="27"/>
  <c r="Q61" i="27"/>
  <c r="P61" i="27"/>
  <c r="O61" i="27"/>
  <c r="N61" i="27"/>
  <c r="M61" i="27"/>
  <c r="L61" i="27"/>
  <c r="K61" i="27"/>
  <c r="J61" i="27"/>
  <c r="I61" i="27"/>
  <c r="H61" i="27"/>
  <c r="G61" i="27"/>
  <c r="Q60" i="27"/>
  <c r="P60" i="27"/>
  <c r="O60" i="27"/>
  <c r="N60" i="27"/>
  <c r="M60" i="27"/>
  <c r="L60" i="27"/>
  <c r="K60" i="27"/>
  <c r="J60" i="27"/>
  <c r="I60" i="27"/>
  <c r="H60" i="27"/>
  <c r="G60" i="27"/>
  <c r="Q59" i="27"/>
  <c r="P59" i="27"/>
  <c r="O59" i="27"/>
  <c r="N59" i="27"/>
  <c r="M59" i="27"/>
  <c r="L59" i="27"/>
  <c r="K59" i="27"/>
  <c r="J59" i="27"/>
  <c r="I59" i="27"/>
  <c r="H59" i="27"/>
  <c r="G59" i="27"/>
  <c r="Q58" i="27"/>
  <c r="P58" i="27"/>
  <c r="O58" i="27"/>
  <c r="N58" i="27"/>
  <c r="M58" i="27"/>
  <c r="L58" i="27"/>
  <c r="K58" i="27"/>
  <c r="J58" i="27"/>
  <c r="I58" i="27"/>
  <c r="H58" i="27"/>
  <c r="G58" i="27"/>
  <c r="Q57" i="27"/>
  <c r="P57" i="27"/>
  <c r="O57" i="27"/>
  <c r="N57" i="27"/>
  <c r="M57" i="27"/>
  <c r="L57" i="27"/>
  <c r="K57" i="27"/>
  <c r="J57" i="27"/>
  <c r="I57" i="27"/>
  <c r="H57" i="27"/>
  <c r="G57" i="27"/>
  <c r="Q56" i="27"/>
  <c r="P56" i="27"/>
  <c r="O56" i="27"/>
  <c r="N56" i="27"/>
  <c r="M56" i="27"/>
  <c r="L56" i="27"/>
  <c r="K56" i="27"/>
  <c r="J56" i="27"/>
  <c r="I56" i="27"/>
  <c r="H56" i="27"/>
  <c r="G56" i="27"/>
  <c r="Q55" i="27"/>
  <c r="Q54" i="27"/>
  <c r="Q53" i="27"/>
  <c r="Q52" i="27"/>
  <c r="P55" i="27"/>
  <c r="O55" i="27"/>
  <c r="N55" i="27"/>
  <c r="M55" i="27"/>
  <c r="L55" i="27"/>
  <c r="K55" i="27"/>
  <c r="J55" i="27"/>
  <c r="I55" i="27"/>
  <c r="H55" i="27"/>
  <c r="G55" i="27"/>
  <c r="F55" i="27"/>
  <c r="P54" i="27"/>
  <c r="O54" i="27"/>
  <c r="N54" i="27"/>
  <c r="M54" i="27"/>
  <c r="L54" i="27"/>
  <c r="K54" i="27"/>
  <c r="J54" i="27"/>
  <c r="I54" i="27"/>
  <c r="H54" i="27"/>
  <c r="G54" i="27"/>
  <c r="F54" i="27"/>
  <c r="P53" i="27"/>
  <c r="O53" i="27"/>
  <c r="N53" i="27"/>
  <c r="M53" i="27"/>
  <c r="L53" i="27"/>
  <c r="K53" i="27"/>
  <c r="J53" i="27"/>
  <c r="I53" i="27"/>
  <c r="H53" i="27"/>
  <c r="G53" i="27"/>
  <c r="F53" i="27"/>
  <c r="P52" i="27"/>
  <c r="O52" i="27"/>
  <c r="N52" i="27"/>
  <c r="M52" i="27"/>
  <c r="L52" i="27"/>
  <c r="K52" i="27"/>
  <c r="J52" i="27"/>
  <c r="I52" i="27"/>
  <c r="H52" i="27"/>
  <c r="G52" i="27"/>
  <c r="F52" i="27"/>
  <c r="F250" i="35" l="1"/>
  <c r="F148" i="35"/>
  <c r="F233" i="35"/>
  <c r="F216" i="35"/>
  <c r="F199" i="35"/>
  <c r="F165" i="35"/>
  <c r="F131" i="35"/>
  <c r="F114" i="35"/>
  <c r="F97" i="35"/>
  <c r="F46" i="35"/>
  <c r="F26" i="35"/>
  <c r="F25" i="35" s="1"/>
  <c r="F9" i="35"/>
  <c r="F8" i="35" s="1"/>
  <c r="D17" i="35"/>
  <c r="D104" i="33"/>
  <c r="F94" i="33"/>
  <c r="D78" i="33"/>
  <c r="D52" i="33"/>
  <c r="F113" i="33"/>
  <c r="F112" i="33" s="1"/>
  <c r="F99" i="33"/>
  <c r="F87" i="33"/>
  <c r="F86" i="33" s="1"/>
  <c r="F61" i="33"/>
  <c r="F60" i="33" s="1"/>
  <c r="F47" i="33"/>
  <c r="F35" i="33"/>
  <c r="F34" i="33" s="1"/>
  <c r="F12" i="33"/>
  <c r="F9" i="33"/>
  <c r="F11" i="33"/>
  <c r="F13" i="33"/>
  <c r="D26" i="33"/>
  <c r="F17" i="33"/>
  <c r="F10" i="33"/>
  <c r="F13" i="31"/>
  <c r="F17" i="31"/>
  <c r="F10" i="31"/>
  <c r="F14" i="31"/>
  <c r="D260" i="32"/>
  <c r="D26" i="32"/>
  <c r="F18" i="32"/>
  <c r="F9" i="32"/>
  <c r="F221" i="32"/>
  <c r="F92" i="32"/>
  <c r="F96" i="32"/>
  <c r="F123" i="32"/>
  <c r="F200" i="32"/>
  <c r="F143" i="32"/>
  <c r="F147" i="32"/>
  <c r="F170" i="32"/>
  <c r="F224" i="32"/>
  <c r="F67" i="32"/>
  <c r="F250" i="32"/>
  <c r="F62" i="32"/>
  <c r="F66" i="32"/>
  <c r="F117" i="32"/>
  <c r="F121" i="32"/>
  <c r="F140" i="32"/>
  <c r="F144" i="32"/>
  <c r="F175" i="32"/>
  <c r="F97" i="32"/>
  <c r="F115" i="32"/>
  <c r="F197" i="32"/>
  <c r="F70" i="32"/>
  <c r="F90" i="32"/>
  <c r="F94" i="32"/>
  <c r="F149" i="32"/>
  <c r="F199" i="32"/>
  <c r="F220" i="32"/>
  <c r="F148" i="32"/>
  <c r="F145" i="32"/>
  <c r="F196" i="32"/>
  <c r="F247" i="32"/>
  <c r="F69" i="32"/>
  <c r="F63" i="32"/>
  <c r="F71" i="32"/>
  <c r="F88" i="32"/>
  <c r="F91" i="32"/>
  <c r="F95" i="32"/>
  <c r="F142" i="32"/>
  <c r="F167" i="32"/>
  <c r="F171" i="32"/>
  <c r="F193" i="32"/>
  <c r="F201" i="32"/>
  <c r="F225" i="32"/>
  <c r="F122" i="32"/>
  <c r="F119" i="32"/>
  <c r="F141" i="32"/>
  <c r="D208" i="32"/>
  <c r="F36" i="32"/>
  <c r="F114" i="32"/>
  <c r="F169" i="32"/>
  <c r="F222" i="32"/>
  <c r="F116" i="32"/>
  <c r="F120" i="32"/>
  <c r="F146" i="32"/>
  <c r="F172" i="32"/>
  <c r="F218" i="32"/>
  <c r="F251" i="32"/>
  <c r="F44" i="32"/>
  <c r="F174" i="32"/>
  <c r="F173" i="32"/>
  <c r="F194" i="32"/>
  <c r="F198" i="32"/>
  <c r="F219" i="32"/>
  <c r="F223" i="32"/>
  <c r="F227" i="32"/>
  <c r="F89" i="32"/>
  <c r="F93" i="32"/>
  <c r="F192" i="32"/>
  <c r="F195" i="32"/>
  <c r="F246" i="32"/>
  <c r="F243" i="32"/>
  <c r="D234" i="32"/>
  <c r="F217" i="32"/>
  <c r="F191" i="32"/>
  <c r="F166" i="32"/>
  <c r="D182" i="32"/>
  <c r="F165" i="32"/>
  <c r="D156" i="32"/>
  <c r="F139" i="32"/>
  <c r="D130" i="32"/>
  <c r="F113" i="32"/>
  <c r="D104" i="32"/>
  <c r="F87" i="32"/>
  <c r="D78" i="32"/>
  <c r="F64" i="32"/>
  <c r="F68" i="32"/>
  <c r="F61" i="32"/>
  <c r="D108" i="31"/>
  <c r="F35" i="32"/>
  <c r="F42" i="32"/>
  <c r="F37" i="32"/>
  <c r="F39" i="32"/>
  <c r="F41" i="32"/>
  <c r="F43" i="32"/>
  <c r="F45" i="32"/>
  <c r="F38" i="32"/>
  <c r="F40" i="32"/>
  <c r="D52" i="32"/>
  <c r="F90" i="31"/>
  <c r="F89" i="31" s="1"/>
  <c r="D54" i="31"/>
  <c r="F11" i="31"/>
  <c r="F15" i="31"/>
  <c r="F19" i="31"/>
  <c r="F43" i="31"/>
  <c r="D81" i="31"/>
  <c r="F64" i="31"/>
  <c r="F67" i="31"/>
  <c r="F72" i="31"/>
  <c r="F63" i="31"/>
  <c r="F18" i="31"/>
  <c r="F39" i="31"/>
  <c r="F41" i="31"/>
  <c r="F38" i="31"/>
  <c r="F40" i="31"/>
  <c r="F42" i="31"/>
  <c r="F46" i="31"/>
  <c r="F37" i="31"/>
  <c r="F12" i="31"/>
  <c r="F16" i="31"/>
  <c r="F44" i="31"/>
  <c r="F45" i="31"/>
  <c r="F36" i="31"/>
  <c r="D27" i="31"/>
  <c r="F9" i="31"/>
  <c r="F29" i="4"/>
  <c r="F28" i="4"/>
  <c r="F27" i="4"/>
  <c r="D14" i="35" l="1"/>
  <c r="F14" i="35" s="1"/>
  <c r="F32" i="35"/>
  <c r="F30" i="35"/>
  <c r="F31" i="35"/>
  <c r="D13" i="35"/>
  <c r="F13" i="35" s="1"/>
  <c r="D15" i="35"/>
  <c r="F15" i="35" s="1"/>
  <c r="F8" i="33"/>
  <c r="D22" i="33" s="1"/>
  <c r="F22" i="33" s="1"/>
  <c r="D23" i="33"/>
  <c r="F23" i="33" s="1"/>
  <c r="D24" i="33"/>
  <c r="F24" i="33" s="1"/>
  <c r="F8" i="32"/>
  <c r="F112" i="32"/>
  <c r="F138" i="32"/>
  <c r="F242" i="32"/>
  <c r="F216" i="32"/>
  <c r="F60" i="32"/>
  <c r="F86" i="32"/>
  <c r="F164" i="32"/>
  <c r="F190" i="32"/>
  <c r="F34" i="32"/>
  <c r="F62" i="31"/>
  <c r="F35" i="31"/>
  <c r="F8" i="31"/>
  <c r="F22" i="31" s="1"/>
  <c r="E89" i="8"/>
  <c r="E88" i="8"/>
  <c r="E87" i="8"/>
  <c r="E73" i="8"/>
  <c r="E72" i="8"/>
  <c r="E71" i="8"/>
  <c r="E48" i="8"/>
  <c r="E47" i="8"/>
  <c r="E46" i="8"/>
  <c r="E22" i="8"/>
  <c r="E21" i="8"/>
  <c r="E20" i="8"/>
  <c r="D22" i="32" l="1"/>
  <c r="D24" i="32"/>
  <c r="D23" i="32"/>
  <c r="F29" i="35"/>
  <c r="F12" i="35"/>
  <c r="F21" i="33"/>
  <c r="F23" i="32"/>
  <c r="F24" i="32"/>
  <c r="F231" i="32"/>
  <c r="F204" i="32"/>
  <c r="F154" i="32"/>
  <c r="F128" i="32"/>
  <c r="F258" i="32"/>
  <c r="F205" i="32"/>
  <c r="F180" i="32"/>
  <c r="F152" i="32"/>
  <c r="F126" i="32"/>
  <c r="F125" i="32" s="1"/>
  <c r="F257" i="32"/>
  <c r="F230" i="32"/>
  <c r="F229" i="32" s="1"/>
  <c r="F206" i="32"/>
  <c r="F179" i="32"/>
  <c r="F256" i="32"/>
  <c r="F255" i="32" s="1"/>
  <c r="F232" i="32"/>
  <c r="F153" i="32"/>
  <c r="F127" i="32"/>
  <c r="F102" i="32"/>
  <c r="F100" i="32"/>
  <c r="F101" i="32"/>
  <c r="D49" i="32"/>
  <c r="F49" i="32" s="1"/>
  <c r="F75" i="32"/>
  <c r="F74" i="32"/>
  <c r="F76" i="32"/>
  <c r="D50" i="32"/>
  <c r="F50" i="32" s="1"/>
  <c r="D48" i="32"/>
  <c r="F48" i="32" s="1"/>
  <c r="F105" i="31"/>
  <c r="F103" i="31"/>
  <c r="F102" i="31" s="1"/>
  <c r="F104" i="31"/>
  <c r="D23" i="31"/>
  <c r="F23" i="31" s="1"/>
  <c r="F77" i="31"/>
  <c r="F76" i="31"/>
  <c r="F75" i="31" s="1"/>
  <c r="F78" i="31"/>
  <c r="F50" i="31"/>
  <c r="F51" i="31"/>
  <c r="F49" i="31"/>
  <c r="F48" i="31" s="1"/>
  <c r="D24" i="31"/>
  <c r="F24" i="31" s="1"/>
  <c r="D9" i="3"/>
  <c r="C32" i="28"/>
  <c r="C34" i="28" s="1"/>
  <c r="E17" i="28" s="1"/>
  <c r="F10" i="4"/>
  <c r="F203" i="32" l="1"/>
  <c r="F151" i="32"/>
  <c r="F99" i="32"/>
  <c r="F73" i="32"/>
  <c r="E7" i="24"/>
  <c r="G19" i="4" s="1"/>
  <c r="E6" i="24"/>
  <c r="G18" i="4" s="1"/>
  <c r="E5" i="24"/>
  <c r="G17" i="4" s="1"/>
  <c r="G16" i="4" l="1"/>
  <c r="F13" i="4"/>
  <c r="E10" i="4"/>
  <c r="G10" i="4" s="1"/>
  <c r="G9" i="4" s="1"/>
  <c r="E62" i="8"/>
  <c r="E10" i="8"/>
  <c r="AB24" i="28"/>
  <c r="E42" i="8" s="1"/>
  <c r="AB20" i="28"/>
  <c r="E38" i="8" s="1"/>
  <c r="AB19" i="28"/>
  <c r="E37" i="8" s="1"/>
  <c r="AB18" i="28"/>
  <c r="E61" i="8" s="1"/>
  <c r="AB15" i="28"/>
  <c r="E33" i="8" s="1"/>
  <c r="AB13" i="28"/>
  <c r="AA3" i="28"/>
  <c r="AB25" i="28" s="1"/>
  <c r="E17" i="8" l="1"/>
  <c r="E68" i="8"/>
  <c r="E43" i="8"/>
  <c r="AB16" i="28"/>
  <c r="AB21" i="28"/>
  <c r="E11" i="8"/>
  <c r="E36" i="8"/>
  <c r="E58" i="8"/>
  <c r="E63" i="8"/>
  <c r="E67" i="8"/>
  <c r="E7" i="8"/>
  <c r="E12" i="8"/>
  <c r="E16" i="8"/>
  <c r="C30" i="29"/>
  <c r="D30" i="29"/>
  <c r="D33" i="29"/>
  <c r="C38" i="29"/>
  <c r="D38" i="29"/>
  <c r="E14" i="28"/>
  <c r="F14" i="28"/>
  <c r="G14" i="28"/>
  <c r="H14" i="28"/>
  <c r="I14" i="28"/>
  <c r="J14" i="28"/>
  <c r="K14" i="28"/>
  <c r="P14" i="28"/>
  <c r="Q14" i="28"/>
  <c r="R14" i="28"/>
  <c r="S14" i="28"/>
  <c r="T14" i="28"/>
  <c r="U14" i="28"/>
  <c r="V14" i="28"/>
  <c r="W14" i="28"/>
  <c r="X14" i="28"/>
  <c r="Y14" i="28"/>
  <c r="Z14" i="28"/>
  <c r="AB14" i="28" s="1"/>
  <c r="F17" i="28"/>
  <c r="G17" i="28" s="1"/>
  <c r="H17" i="28"/>
  <c r="I17" i="28"/>
  <c r="P17" i="28"/>
  <c r="Q17" i="28"/>
  <c r="T17" i="28"/>
  <c r="U17" i="28"/>
  <c r="V17" i="28"/>
  <c r="W17" i="28"/>
  <c r="E22" i="28"/>
  <c r="F22" i="28"/>
  <c r="G22" i="28"/>
  <c r="H22" i="28"/>
  <c r="I22" i="28"/>
  <c r="J22" i="28"/>
  <c r="K22" i="28"/>
  <c r="P22" i="28"/>
  <c r="Q22" i="28"/>
  <c r="R22" i="28"/>
  <c r="S22" i="28"/>
  <c r="T22" i="28"/>
  <c r="U22" i="28"/>
  <c r="V22" i="28"/>
  <c r="W22" i="28"/>
  <c r="X22" i="28"/>
  <c r="Y22" i="28"/>
  <c r="Z22" i="28"/>
  <c r="AB22" i="28" s="1"/>
  <c r="E23" i="28"/>
  <c r="F23" i="28"/>
  <c r="G23" i="28"/>
  <c r="H23" i="28"/>
  <c r="I23" i="28"/>
  <c r="J23" i="28"/>
  <c r="K23" i="28"/>
  <c r="P23" i="28"/>
  <c r="Q23" i="28"/>
  <c r="R23" i="28"/>
  <c r="S23" i="28"/>
  <c r="T23" i="28"/>
  <c r="U23" i="28"/>
  <c r="V23" i="28"/>
  <c r="W23" i="28"/>
  <c r="X23" i="28"/>
  <c r="Y23" i="28"/>
  <c r="Z23" i="28"/>
  <c r="AB23" i="28" s="1"/>
  <c r="P46" i="27"/>
  <c r="N46" i="27"/>
  <c r="M46" i="27"/>
  <c r="L46" i="27"/>
  <c r="K46" i="27"/>
  <c r="J46" i="27"/>
  <c r="I46" i="27"/>
  <c r="H46" i="27"/>
  <c r="G46" i="27"/>
  <c r="A41" i="27"/>
  <c r="G36" i="27"/>
  <c r="G45" i="27" s="1"/>
  <c r="G35" i="27"/>
  <c r="G44" i="27" s="1"/>
  <c r="D41" i="8" s="1"/>
  <c r="G34" i="27"/>
  <c r="G43" i="27" s="1"/>
  <c r="E41" i="8" l="1"/>
  <c r="E15" i="8"/>
  <c r="E66" i="8"/>
  <c r="C39" i="29"/>
  <c r="E8" i="8"/>
  <c r="E59" i="8"/>
  <c r="E34" i="8"/>
  <c r="E65" i="8"/>
  <c r="E40" i="8"/>
  <c r="E14" i="8"/>
  <c r="D39" i="29"/>
  <c r="E13" i="8"/>
  <c r="E39" i="8"/>
  <c r="E64" i="8"/>
  <c r="Y17" i="28"/>
  <c r="F19" i="4"/>
  <c r="F18" i="4"/>
  <c r="F17" i="4"/>
  <c r="D66" i="8"/>
  <c r="D15" i="8"/>
  <c r="F46" i="27"/>
  <c r="G47" i="27"/>
  <c r="F45" i="27"/>
  <c r="F44" i="27"/>
  <c r="D40" i="8" s="1"/>
  <c r="F43" i="27"/>
  <c r="D14" i="8" s="1"/>
  <c r="Z17" i="28" l="1"/>
  <c r="AB17" i="28" s="1"/>
  <c r="X17" i="28"/>
  <c r="D65" i="8"/>
  <c r="F47" i="27"/>
  <c r="O37" i="27"/>
  <c r="P36" i="27"/>
  <c r="O36" i="27"/>
  <c r="O45" i="27" s="1"/>
  <c r="N36" i="27"/>
  <c r="M36" i="27"/>
  <c r="L36" i="27"/>
  <c r="L45" i="27" s="1"/>
  <c r="K36" i="27"/>
  <c r="J36" i="27"/>
  <c r="I36" i="27"/>
  <c r="H36" i="27"/>
  <c r="P35" i="27"/>
  <c r="P44" i="27" s="1"/>
  <c r="D38" i="8" s="1"/>
  <c r="O35" i="27"/>
  <c r="O44" i="27" s="1"/>
  <c r="D35" i="8" s="1"/>
  <c r="N35" i="27"/>
  <c r="N44" i="27" s="1"/>
  <c r="D34" i="8" s="1"/>
  <c r="M35" i="27"/>
  <c r="M44" i="27" s="1"/>
  <c r="D33" i="8" s="1"/>
  <c r="L35" i="27"/>
  <c r="L44" i="27" s="1"/>
  <c r="D39" i="8" s="1"/>
  <c r="K35" i="27"/>
  <c r="K44" i="27" s="1"/>
  <c r="D37" i="8" s="1"/>
  <c r="J35" i="27"/>
  <c r="J44" i="27" s="1"/>
  <c r="D36" i="8" s="1"/>
  <c r="I35" i="27"/>
  <c r="I44" i="27" s="1"/>
  <c r="D43" i="8" s="1"/>
  <c r="H35" i="27"/>
  <c r="H44" i="27" s="1"/>
  <c r="D42" i="8" s="1"/>
  <c r="P34" i="27"/>
  <c r="P43" i="27" s="1"/>
  <c r="O34" i="27"/>
  <c r="O43" i="27" s="1"/>
  <c r="N34" i="27"/>
  <c r="N43" i="27" s="1"/>
  <c r="M34" i="27"/>
  <c r="M43" i="27" s="1"/>
  <c r="L34" i="27"/>
  <c r="L43" i="27" s="1"/>
  <c r="K34" i="27"/>
  <c r="K43" i="27" s="1"/>
  <c r="D11" i="8" s="1"/>
  <c r="F11" i="8" s="1"/>
  <c r="J34" i="27"/>
  <c r="J43" i="27" s="1"/>
  <c r="I34" i="27"/>
  <c r="I43" i="27" s="1"/>
  <c r="H34" i="27"/>
  <c r="H43" i="27" s="1"/>
  <c r="F38" i="27"/>
  <c r="F40" i="27" s="1"/>
  <c r="F48" i="27" s="1"/>
  <c r="D62" i="8" l="1"/>
  <c r="K45" i="27"/>
  <c r="D67" i="8"/>
  <c r="H45" i="27"/>
  <c r="D63" i="8"/>
  <c r="P45" i="27"/>
  <c r="I45" i="27"/>
  <c r="D68" i="8" s="1"/>
  <c r="M45" i="27"/>
  <c r="D58" i="8" s="1"/>
  <c r="O46" i="27"/>
  <c r="D61" i="8"/>
  <c r="J45" i="27"/>
  <c r="D59" i="8"/>
  <c r="N45" i="27"/>
  <c r="E83" i="8"/>
  <c r="E35" i="8"/>
  <c r="E9" i="8"/>
  <c r="E60" i="8"/>
  <c r="D17" i="8"/>
  <c r="I47" i="27"/>
  <c r="N38" i="27"/>
  <c r="N40" i="27" s="1"/>
  <c r="N48" i="27" s="1"/>
  <c r="K47" i="27"/>
  <c r="M38" i="27"/>
  <c r="M40" i="27" s="1"/>
  <c r="M48" i="27" s="1"/>
  <c r="Q44" i="27"/>
  <c r="O38" i="27"/>
  <c r="O40" i="27" s="1"/>
  <c r="O48" i="27" s="1"/>
  <c r="D60" i="8"/>
  <c r="J38" i="27"/>
  <c r="J40" i="27" s="1"/>
  <c r="J48" i="27" s="1"/>
  <c r="L38" i="27"/>
  <c r="L40" i="27" s="1"/>
  <c r="L48" i="27" s="1"/>
  <c r="D64" i="8"/>
  <c r="Q45" i="27"/>
  <c r="O47" i="27"/>
  <c r="D9" i="8"/>
  <c r="D16" i="8"/>
  <c r="H47" i="27"/>
  <c r="D13" i="8"/>
  <c r="L47" i="27"/>
  <c r="D12" i="8"/>
  <c r="P47" i="27"/>
  <c r="K38" i="27"/>
  <c r="K40" i="27" s="1"/>
  <c r="K48" i="27" s="1"/>
  <c r="P38" i="27"/>
  <c r="P40" i="27" s="1"/>
  <c r="P48" i="27" s="1"/>
  <c r="I38" i="27"/>
  <c r="I40" i="27" s="1"/>
  <c r="I48" i="27" s="1"/>
  <c r="G38" i="27"/>
  <c r="G40" i="27" s="1"/>
  <c r="H38" i="27"/>
  <c r="H40" i="27" s="1"/>
  <c r="H48" i="27" s="1"/>
  <c r="D75" i="8" l="1"/>
  <c r="F40" i="4" s="1"/>
  <c r="D83" i="8"/>
  <c r="D91" i="8" s="1"/>
  <c r="F41" i="4" s="1"/>
  <c r="Q46" i="27"/>
  <c r="Q40" i="27"/>
  <c r="J47" i="27"/>
  <c r="D10" i="8"/>
  <c r="Q43" i="27"/>
  <c r="D7" i="8"/>
  <c r="M47" i="27"/>
  <c r="D8" i="8"/>
  <c r="N47" i="27"/>
  <c r="G48" i="27"/>
  <c r="Q48" i="27" s="1"/>
  <c r="H5" i="8"/>
  <c r="A7" i="3"/>
  <c r="A8" i="3"/>
  <c r="B8" i="3"/>
  <c r="A9" i="3"/>
  <c r="B9" i="3"/>
  <c r="C9" i="3"/>
  <c r="B14" i="3"/>
  <c r="C20" i="30" l="1"/>
  <c r="F24" i="4" s="1"/>
  <c r="G24" i="4" s="1"/>
  <c r="C17" i="30"/>
  <c r="C18" i="30" s="1"/>
  <c r="F22" i="4" s="1"/>
  <c r="C19" i="30"/>
  <c r="F23" i="4" s="1"/>
  <c r="Q47" i="27"/>
  <c r="F13" i="8"/>
  <c r="H8" i="25"/>
  <c r="F68" i="8" l="1"/>
  <c r="F66" i="8"/>
  <c r="F64" i="8"/>
  <c r="F62" i="8"/>
  <c r="F60" i="8"/>
  <c r="F67" i="8"/>
  <c r="F65" i="8"/>
  <c r="F63" i="8"/>
  <c r="F61" i="8"/>
  <c r="F59" i="8"/>
  <c r="F43" i="8"/>
  <c r="F41" i="8"/>
  <c r="F39" i="8"/>
  <c r="F37" i="8"/>
  <c r="F35" i="8"/>
  <c r="F33" i="8"/>
  <c r="F40" i="8"/>
  <c r="F38" i="8"/>
  <c r="F34" i="8"/>
  <c r="F42" i="8"/>
  <c r="F36" i="8"/>
  <c r="F16" i="8"/>
  <c r="F17" i="8"/>
  <c r="F9" i="8"/>
  <c r="F10" i="8"/>
  <c r="F14" i="8"/>
  <c r="F7" i="8"/>
  <c r="F15" i="8"/>
  <c r="F8" i="8"/>
  <c r="F12" i="8"/>
  <c r="F6" i="8" l="1"/>
  <c r="D50" i="8"/>
  <c r="F39" i="4" s="1"/>
  <c r="D25" i="8"/>
  <c r="D21" i="8" l="1"/>
  <c r="F21" i="8" s="1"/>
  <c r="D22" i="8"/>
  <c r="F22" i="8" s="1"/>
  <c r="D20" i="8"/>
  <c r="F20" i="8" s="1"/>
  <c r="A102" i="8" l="1"/>
  <c r="A13" i="3" s="1"/>
  <c r="A101" i="8"/>
  <c r="A12" i="3" s="1"/>
  <c r="A100" i="8"/>
  <c r="A11" i="3" s="1"/>
  <c r="B99" i="8"/>
  <c r="B10" i="3" s="1"/>
  <c r="C38" i="4" l="1"/>
  <c r="D102" i="8"/>
  <c r="D101" i="8"/>
  <c r="D100" i="8"/>
  <c r="D99" i="8"/>
  <c r="E41" i="4" l="1"/>
  <c r="G41" i="4" s="1"/>
  <c r="B102" i="8"/>
  <c r="E40" i="4"/>
  <c r="G40" i="4" s="1"/>
  <c r="B101" i="8"/>
  <c r="E39" i="4"/>
  <c r="G39" i="4" s="1"/>
  <c r="B100" i="8"/>
  <c r="E38" i="4"/>
  <c r="A99" i="8"/>
  <c r="A10" i="3" s="1"/>
  <c r="B81" i="8"/>
  <c r="B56" i="8"/>
  <c r="B31" i="8"/>
  <c r="B5" i="8"/>
  <c r="C39" i="4" l="1"/>
  <c r="B11" i="3"/>
  <c r="C41" i="4"/>
  <c r="B13" i="3"/>
  <c r="C40" i="4"/>
  <c r="B12" i="3"/>
  <c r="G13" i="4" l="1"/>
  <c r="G12" i="4" s="1"/>
  <c r="G23" i="4"/>
  <c r="G22" i="4"/>
  <c r="G21" i="4" s="1"/>
  <c r="E27" i="4" l="1"/>
  <c r="E28" i="4"/>
  <c r="E29" i="4"/>
  <c r="F38" i="4"/>
  <c r="G38" i="4" s="1"/>
  <c r="F32" i="8"/>
  <c r="F58" i="8"/>
  <c r="F57" i="8" s="1"/>
  <c r="F83" i="8"/>
  <c r="D71" i="8" l="1"/>
  <c r="F71" i="8" s="1"/>
  <c r="D73" i="8"/>
  <c r="F73" i="8" s="1"/>
  <c r="D72" i="8"/>
  <c r="F72" i="8" s="1"/>
  <c r="D47" i="8"/>
  <c r="F47" i="8" s="1"/>
  <c r="D46" i="8"/>
  <c r="F46" i="8" s="1"/>
  <c r="D48" i="8"/>
  <c r="F48" i="8" s="1"/>
  <c r="G43" i="4"/>
  <c r="G47" i="4" s="1"/>
  <c r="F82" i="8"/>
  <c r="D89" i="8" l="1"/>
  <c r="F89" i="8" s="1"/>
  <c r="D88" i="8"/>
  <c r="F88" i="8" s="1"/>
  <c r="D87" i="8"/>
  <c r="F87" i="8" s="1"/>
  <c r="F70" i="8"/>
  <c r="G28" i="4"/>
  <c r="G29" i="4" s="1"/>
  <c r="F86" i="8" l="1"/>
  <c r="G27" i="4"/>
  <c r="G26" i="4" s="1"/>
  <c r="G7" i="4" l="1"/>
  <c r="G31" i="4" s="1"/>
  <c r="G46" i="4" l="1"/>
  <c r="G32" i="4"/>
  <c r="G48" i="4" l="1"/>
  <c r="E50" i="8" s="1"/>
  <c r="F50" i="8" s="1"/>
  <c r="E78" i="33" l="1"/>
  <c r="F78" i="33" s="1"/>
  <c r="F59" i="33" s="1"/>
  <c r="E108" i="31"/>
  <c r="F108" i="31" s="1"/>
  <c r="F88" i="31" s="1"/>
  <c r="E187" i="35"/>
  <c r="F187" i="35" s="1"/>
  <c r="F177" i="35" s="1"/>
  <c r="E52" i="33"/>
  <c r="F52" i="33" s="1"/>
  <c r="F33" i="33" s="1"/>
  <c r="E81" i="31"/>
  <c r="F81" i="31" s="1"/>
  <c r="F61" i="31" s="1"/>
  <c r="E34" i="35"/>
  <c r="F34" i="35" s="1"/>
  <c r="F24" i="35" s="1"/>
  <c r="E104" i="32"/>
  <c r="F104" i="32" s="1"/>
  <c r="F85" i="32" s="1"/>
  <c r="E85" i="35"/>
  <c r="F85" i="35" s="1"/>
  <c r="E208" i="32"/>
  <c r="F208" i="32" s="1"/>
  <c r="F189" i="32" s="1"/>
  <c r="E238" i="35"/>
  <c r="F238" i="35" s="1"/>
  <c r="F228" i="35" s="1"/>
  <c r="E26" i="32"/>
  <c r="F26" i="32" s="1"/>
  <c r="E54" i="31"/>
  <c r="F54" i="31" s="1"/>
  <c r="F34" i="31" s="1"/>
  <c r="E119" i="35"/>
  <c r="F119" i="35" s="1"/>
  <c r="F109" i="35" s="1"/>
  <c r="E26" i="33"/>
  <c r="F26" i="33" s="1"/>
  <c r="F7" i="33" s="1"/>
  <c r="E204" i="35"/>
  <c r="F204" i="35" s="1"/>
  <c r="F194" i="35" s="1"/>
  <c r="E17" i="35"/>
  <c r="F17" i="35" s="1"/>
  <c r="F7" i="35" s="1"/>
  <c r="E47" i="38" s="1"/>
  <c r="F47" i="38" s="1"/>
  <c r="E78" i="32"/>
  <c r="F78" i="32" s="1"/>
  <c r="F59" i="32" s="1"/>
  <c r="E260" i="32"/>
  <c r="F260" i="32" s="1"/>
  <c r="F241" i="32" s="1"/>
  <c r="E170" i="35"/>
  <c r="F170" i="35" s="1"/>
  <c r="F160" i="35" s="1"/>
  <c r="E234" i="32"/>
  <c r="F234" i="32" s="1"/>
  <c r="F215" i="32" s="1"/>
  <c r="E27" i="31"/>
  <c r="F27" i="31" s="1"/>
  <c r="F7" i="31" s="1"/>
  <c r="E51" i="35"/>
  <c r="F51" i="35" s="1"/>
  <c r="F41" i="35" s="1"/>
  <c r="E182" i="32"/>
  <c r="F182" i="32" s="1"/>
  <c r="E136" i="35"/>
  <c r="F136" i="35" s="1"/>
  <c r="F126" i="35" s="1"/>
  <c r="E104" i="33"/>
  <c r="F104" i="33" s="1"/>
  <c r="F85" i="33" s="1"/>
  <c r="E221" i="35"/>
  <c r="F221" i="35" s="1"/>
  <c r="F211" i="35" s="1"/>
  <c r="E156" i="32"/>
  <c r="F156" i="32" s="1"/>
  <c r="F137" i="32" s="1"/>
  <c r="E102" i="35"/>
  <c r="F102" i="35" s="1"/>
  <c r="F92" i="35" s="1"/>
  <c r="E52" i="32"/>
  <c r="F52" i="32" s="1"/>
  <c r="F33" i="32" s="1"/>
  <c r="E255" i="35"/>
  <c r="F255" i="35" s="1"/>
  <c r="F245" i="35" s="1"/>
  <c r="E130" i="33"/>
  <c r="F130" i="33" s="1"/>
  <c r="F111" i="33" s="1"/>
  <c r="E130" i="32"/>
  <c r="F130" i="32" s="1"/>
  <c r="F111" i="32" s="1"/>
  <c r="E68" i="35"/>
  <c r="F68" i="35" s="1"/>
  <c r="E153" i="35"/>
  <c r="F153" i="35" s="1"/>
  <c r="F143" i="35" s="1"/>
  <c r="E91" i="8"/>
  <c r="F91" i="8" s="1"/>
  <c r="F81" i="8" s="1"/>
  <c r="E93" i="8" s="1"/>
  <c r="E75" i="8"/>
  <c r="F75" i="8" s="1"/>
  <c r="F56" i="8" s="1"/>
  <c r="E77" i="8" s="1"/>
  <c r="E25" i="8"/>
  <c r="F25" i="8" s="1"/>
  <c r="F5" i="8" s="1"/>
  <c r="F31" i="8"/>
  <c r="E52" i="8" s="1"/>
  <c r="E27" i="8"/>
  <c r="E99" i="8" s="1"/>
  <c r="E27" i="38" l="1"/>
  <c r="F27" i="38" s="1"/>
  <c r="D31" i="3"/>
  <c r="E31" i="3" s="1"/>
  <c r="E132" i="32"/>
  <c r="F132" i="32" s="1"/>
  <c r="E52" i="38"/>
  <c r="F52" i="38" s="1"/>
  <c r="E104" i="35"/>
  <c r="F104" i="35" s="1"/>
  <c r="D56" i="3"/>
  <c r="E56" i="3" s="1"/>
  <c r="E54" i="38"/>
  <c r="F54" i="38" s="1"/>
  <c r="E138" i="35"/>
  <c r="F138" i="35" s="1"/>
  <c r="D58" i="3"/>
  <c r="E58" i="3" s="1"/>
  <c r="E236" i="32"/>
  <c r="F236" i="32" s="1"/>
  <c r="E31" i="38"/>
  <c r="F31" i="38" s="1"/>
  <c r="D35" i="3"/>
  <c r="E35" i="3" s="1"/>
  <c r="E19" i="35"/>
  <c r="F19" i="35" s="1"/>
  <c r="E56" i="31"/>
  <c r="F56" i="31" s="1"/>
  <c r="D20" i="3"/>
  <c r="E20" i="3" s="1"/>
  <c r="E16" i="38"/>
  <c r="F16" i="38" s="1"/>
  <c r="E54" i="33"/>
  <c r="F54" i="33" s="1"/>
  <c r="E38" i="38"/>
  <c r="F38" i="38" s="1"/>
  <c r="D42" i="3"/>
  <c r="E42" i="3" s="1"/>
  <c r="E132" i="33"/>
  <c r="F132" i="33" s="1"/>
  <c r="D45" i="3"/>
  <c r="E45" i="3" s="1"/>
  <c r="E41" i="38"/>
  <c r="F41" i="38" s="1"/>
  <c r="E28" i="38"/>
  <c r="F28" i="38" s="1"/>
  <c r="D32" i="3"/>
  <c r="E32" i="3" s="1"/>
  <c r="E158" i="32"/>
  <c r="F158" i="32" s="1"/>
  <c r="E56" i="38"/>
  <c r="F56" i="38" s="1"/>
  <c r="E172" i="35"/>
  <c r="F172" i="35" s="1"/>
  <c r="D60" i="3"/>
  <c r="E60" i="3" s="1"/>
  <c r="E58" i="38"/>
  <c r="F58" i="38" s="1"/>
  <c r="E206" i="35"/>
  <c r="F206" i="35" s="1"/>
  <c r="D62" i="3"/>
  <c r="E62" i="3" s="1"/>
  <c r="E106" i="32"/>
  <c r="F106" i="32" s="1"/>
  <c r="D30" i="3"/>
  <c r="E30" i="3" s="1"/>
  <c r="E26" i="38"/>
  <c r="F26" i="38" s="1"/>
  <c r="E57" i="38"/>
  <c r="F57" i="38" s="1"/>
  <c r="E189" i="35"/>
  <c r="F189" i="35" s="1"/>
  <c r="D61" i="3"/>
  <c r="E61" i="3" s="1"/>
  <c r="E55" i="38"/>
  <c r="F55" i="38" s="1"/>
  <c r="E155" i="35"/>
  <c r="F155" i="35" s="1"/>
  <c r="D59" i="3"/>
  <c r="E59" i="3" s="1"/>
  <c r="E61" i="38"/>
  <c r="F61" i="38" s="1"/>
  <c r="E257" i="35"/>
  <c r="F257" i="35" s="1"/>
  <c r="D65" i="3"/>
  <c r="E65" i="3" s="1"/>
  <c r="E59" i="38"/>
  <c r="F59" i="38" s="1"/>
  <c r="E223" i="35"/>
  <c r="F223" i="35" s="1"/>
  <c r="D63" i="3"/>
  <c r="E63" i="3" s="1"/>
  <c r="E49" i="38"/>
  <c r="F49" i="38" s="1"/>
  <c r="E53" i="35"/>
  <c r="F53" i="35" s="1"/>
  <c r="D53" i="3"/>
  <c r="E53" i="3" s="1"/>
  <c r="E262" i="32"/>
  <c r="F262" i="32" s="1"/>
  <c r="E32" i="38"/>
  <c r="F32" i="38" s="1"/>
  <c r="D36" i="3"/>
  <c r="E36" i="3" s="1"/>
  <c r="E28" i="33"/>
  <c r="F28" i="33" s="1"/>
  <c r="D41" i="3"/>
  <c r="E41" i="3" s="1"/>
  <c r="E37" i="38"/>
  <c r="F37" i="38" s="1"/>
  <c r="E60" i="38"/>
  <c r="F60" i="38" s="1"/>
  <c r="E240" i="35"/>
  <c r="F240" i="35" s="1"/>
  <c r="D64" i="3"/>
  <c r="E64" i="3" s="1"/>
  <c r="E48" i="38"/>
  <c r="F48" i="38" s="1"/>
  <c r="E36" i="35"/>
  <c r="F36" i="35" s="1"/>
  <c r="D52" i="3"/>
  <c r="E52" i="3" s="1"/>
  <c r="E110" i="31"/>
  <c r="F110" i="31" s="1"/>
  <c r="E18" i="38"/>
  <c r="F18" i="38" s="1"/>
  <c r="D22" i="3"/>
  <c r="E22" i="3" s="1"/>
  <c r="D28" i="3"/>
  <c r="E28" i="3" s="1"/>
  <c r="E54" i="32"/>
  <c r="F54" i="32" s="1"/>
  <c r="E24" i="38"/>
  <c r="F24" i="38" s="1"/>
  <c r="E106" i="33"/>
  <c r="F106" i="33" s="1"/>
  <c r="D44" i="3"/>
  <c r="E44" i="3" s="1"/>
  <c r="E40" i="38"/>
  <c r="F40" i="38" s="1"/>
  <c r="E15" i="38"/>
  <c r="F15" i="38" s="1"/>
  <c r="D19" i="3"/>
  <c r="E19" i="3" s="1"/>
  <c r="E29" i="31"/>
  <c r="F29" i="31" s="1"/>
  <c r="E80" i="32"/>
  <c r="F80" i="32" s="1"/>
  <c r="E25" i="38"/>
  <c r="F25" i="38" s="1"/>
  <c r="D29" i="3"/>
  <c r="E29" i="3" s="1"/>
  <c r="E53" i="38"/>
  <c r="F53" i="38" s="1"/>
  <c r="E121" i="35"/>
  <c r="F121" i="35" s="1"/>
  <c r="D57" i="3"/>
  <c r="E57" i="3" s="1"/>
  <c r="E210" i="32"/>
  <c r="F210" i="32" s="1"/>
  <c r="D34" i="3"/>
  <c r="E34" i="3" s="1"/>
  <c r="E30" i="38"/>
  <c r="F30" i="38" s="1"/>
  <c r="E17" i="38"/>
  <c r="F17" i="38" s="1"/>
  <c r="E83" i="31"/>
  <c r="F83" i="31" s="1"/>
  <c r="D21" i="3"/>
  <c r="E21" i="3" s="1"/>
  <c r="E80" i="33"/>
  <c r="F80" i="33" s="1"/>
  <c r="D43" i="3"/>
  <c r="E43" i="3" s="1"/>
  <c r="E39" i="38"/>
  <c r="F39" i="38" s="1"/>
  <c r="F99" i="8"/>
  <c r="E6" i="38" s="1"/>
  <c r="E102" i="8"/>
  <c r="F93" i="8"/>
  <c r="F77" i="8"/>
  <c r="E101" i="8"/>
  <c r="F52" i="8"/>
  <c r="E100" i="8"/>
  <c r="F27" i="8"/>
  <c r="E46" i="3" l="1"/>
  <c r="E23" i="3"/>
  <c r="F42" i="38"/>
  <c r="F102" i="8"/>
  <c r="E9" i="38" s="1"/>
  <c r="F19" i="38"/>
  <c r="F100" i="8"/>
  <c r="E7" i="38" s="1"/>
  <c r="F101" i="8"/>
  <c r="D10" i="3"/>
  <c r="D13" i="3"/>
  <c r="D12" i="3" l="1"/>
  <c r="E8" i="38"/>
  <c r="D11" i="3"/>
  <c r="F103" i="8"/>
  <c r="E10" i="38" s="1"/>
  <c r="D14" i="3" l="1"/>
  <c r="F22" i="32"/>
  <c r="F21" i="32" s="1"/>
  <c r="F7" i="32" s="1"/>
  <c r="E23" i="38" l="1"/>
  <c r="F23" i="38" s="1"/>
  <c r="E28" i="32"/>
  <c r="F28" i="32" s="1"/>
  <c r="D27" i="3"/>
  <c r="E27" i="3" s="1"/>
  <c r="F178" i="32"/>
  <c r="F177" i="32" s="1"/>
  <c r="F163" i="32" s="1"/>
  <c r="D33" i="3" s="1"/>
  <c r="E33" i="3" s="1"/>
  <c r="E37" i="3" l="1"/>
  <c r="E184" i="32"/>
  <c r="F184" i="32" s="1"/>
  <c r="E29" i="38"/>
  <c r="F29" i="38" s="1"/>
  <c r="F33" i="38" s="1"/>
  <c r="F64" i="35"/>
  <c r="F63" i="35"/>
  <c r="F58" i="35" s="1"/>
  <c r="D54" i="3" l="1"/>
  <c r="E54" i="3" s="1"/>
  <c r="E50" i="38"/>
  <c r="F50" i="38" s="1"/>
  <c r="E70" i="35"/>
  <c r="F70" i="35" s="1"/>
  <c r="F81" i="35"/>
  <c r="F80" i="35" s="1"/>
  <c r="F75" i="35" s="1"/>
  <c r="E87" i="35" l="1"/>
  <c r="F87" i="35" s="1"/>
  <c r="D55" i="3"/>
  <c r="E55" i="3" s="1"/>
  <c r="E66" i="3" s="1"/>
  <c r="E51" i="38"/>
  <c r="F51" i="38" s="1"/>
  <c r="F62" i="38" s="1"/>
</calcChain>
</file>

<file path=xl/sharedStrings.xml><?xml version="1.0" encoding="utf-8"?>
<sst xmlns="http://schemas.openxmlformats.org/spreadsheetml/2006/main" count="1879" uniqueCount="329">
  <si>
    <t>Atividades de Nível Superior</t>
  </si>
  <si>
    <t>Coordenador</t>
  </si>
  <si>
    <t>Total</t>
  </si>
  <si>
    <t>Código</t>
  </si>
  <si>
    <t>Item</t>
  </si>
  <si>
    <t>Descrição</t>
  </si>
  <si>
    <t>Unidade</t>
  </si>
  <si>
    <t>Quantidade</t>
  </si>
  <si>
    <t>R$ Unitário</t>
  </si>
  <si>
    <t>R$ Total</t>
  </si>
  <si>
    <t>Custos Gerenciais e Indiretos</t>
  </si>
  <si>
    <t>Equipe Técnica</t>
  </si>
  <si>
    <t>1.1</t>
  </si>
  <si>
    <t>Consultor</t>
  </si>
  <si>
    <t>1.1.1</t>
  </si>
  <si>
    <t>Consultor Especial ( C )</t>
  </si>
  <si>
    <t>1.2</t>
  </si>
  <si>
    <t>1.2.1</t>
  </si>
  <si>
    <t>2.1</t>
  </si>
  <si>
    <t>percentual</t>
  </si>
  <si>
    <t>2.2</t>
  </si>
  <si>
    <t>unidade</t>
  </si>
  <si>
    <t>7.1</t>
  </si>
  <si>
    <t>7.2</t>
  </si>
  <si>
    <t>TOTAL GERAL (MENSAL)</t>
  </si>
  <si>
    <t>TOTAL GERAL (ANUAL)</t>
  </si>
  <si>
    <t>Cálculo dos Custos Gerenciais e Indiretos  por HORA</t>
  </si>
  <si>
    <t>Qtde</t>
  </si>
  <si>
    <t>Horas</t>
  </si>
  <si>
    <t>Total Horas</t>
  </si>
  <si>
    <t>Total:</t>
  </si>
  <si>
    <t>Reais</t>
  </si>
  <si>
    <t>Custo Gerencial e Indiretos (por hora)</t>
  </si>
  <si>
    <t>R$ / H</t>
  </si>
  <si>
    <t>DESCRIÇÃO</t>
  </si>
  <si>
    <t>mês</t>
  </si>
  <si>
    <t>A</t>
  </si>
  <si>
    <t>B</t>
  </si>
  <si>
    <t>D</t>
  </si>
  <si>
    <t>Composição dos Custos para Elaboração dos Relatórios:</t>
  </si>
  <si>
    <t>$ Unitário</t>
  </si>
  <si>
    <t>$ Total</t>
  </si>
  <si>
    <t>Horas úteis/mês</t>
  </si>
  <si>
    <t>dias úteis/mês</t>
  </si>
  <si>
    <t>horas de trabalho/dia</t>
  </si>
  <si>
    <t>Mão de Obra</t>
  </si>
  <si>
    <t>hora</t>
  </si>
  <si>
    <t>X1</t>
  </si>
  <si>
    <t>C</t>
  </si>
  <si>
    <t>Nº</t>
  </si>
  <si>
    <t>Especialidade</t>
  </si>
  <si>
    <t>LOTES 1, 2, 3 A</t>
  </si>
  <si>
    <t xml:space="preserve">LOTE 4 A </t>
  </si>
  <si>
    <t>Coordenador - Coordenador Geral de Apoio a Novas Outorgas (CBO 2142-05)</t>
  </si>
  <si>
    <t>Engenheiro Civil - Junior (CBO 2142-05)</t>
  </si>
  <si>
    <t>Bacharel em Direito - Júnior (CBO 2410-05)</t>
  </si>
  <si>
    <t>Bacharel em Direito - Pleno (CBO 2410-05)</t>
  </si>
  <si>
    <t>Profissional Nível Superior - Pleno (CBO 4101)</t>
  </si>
  <si>
    <t>Economista - Júnior (CBO 2512-05)</t>
  </si>
  <si>
    <t>Economista - Sênior (CBO 2512-05)</t>
  </si>
  <si>
    <t>Contador - Júnior (CBO 2522-10)</t>
  </si>
  <si>
    <t>Engenheiro Ambiental - Junior (CBO 2140-05)</t>
  </si>
  <si>
    <t>Engenheiro Civil - Orçamentista - Junior (CBO 2142-05)</t>
  </si>
  <si>
    <t>Engenheiro Civil - Orçamentista Pleno (CBO 2142-05)</t>
  </si>
  <si>
    <t>Engenheiro Civil - Projetista - Junior (CBO 2142-05)</t>
  </si>
  <si>
    <t>Engenheiro Civil - Projetista Pleno (CBO 2142-05)</t>
  </si>
  <si>
    <t>22+1 coordenador = 23</t>
  </si>
  <si>
    <t>ELABORAÇÃO DE DOCUMENTOS PARA AUDIÊNCIA PÚBLICA DOS PROJETOS DE CONCESSÃO E PRORROGAÇÕES ANTECIPADAS</t>
  </si>
  <si>
    <t>AJUSTES DE DOCUMENTOS APÓS AUDIÊNCIA PÚBLICA DOS PROJETOS DE CONCESSÃO E PRORROGAÇÕES ANTECIPADAS</t>
  </si>
  <si>
    <t>Total de Horas Trabalhadas (mês)</t>
  </si>
  <si>
    <t>AJUSTES DE DOCUMENTOS DURANTE E APÓS ANÁLISE PELO TRIBUNAL DE CONTAS DA UNIÃO DOS PROJETOS DE CONCESSÃO E PRORROGAÇÕES ANTECIPADAS</t>
  </si>
  <si>
    <t>ELABORAÇÃO DE CRONOGRAMA PARA GESTÃO DE PROJETOS DE CONCESSÃO E PRORROGAÇÕES ANTECIPADAS</t>
  </si>
  <si>
    <t>Horas mensais</t>
  </si>
  <si>
    <t>Custo total mensal dos Relatórios</t>
  </si>
  <si>
    <t>Quantidade mensal</t>
  </si>
  <si>
    <t>R$ mensal</t>
  </si>
  <si>
    <t>PRODUTO</t>
  </si>
  <si>
    <t>ESTUDOS</t>
  </si>
  <si>
    <t>PRODUTO X ESTUDOS X 
QTD PROFISSIONAIS</t>
  </si>
  <si>
    <t>Engenharia Civil - Orçamentista (Júnior):</t>
  </si>
  <si>
    <t>Engenharia Civil - Orçamentista (Pleno):</t>
  </si>
  <si>
    <r>
      <t>Engenharia Civil - Projetista (Júnior):</t>
    </r>
    <r>
      <rPr>
        <sz val="10"/>
        <rFont val="&amp;quot"/>
      </rPr>
      <t> </t>
    </r>
  </si>
  <si>
    <t>Engenharia Civil - Projetista (Pleno):</t>
  </si>
  <si>
    <t>Economista
 (Júnior):</t>
  </si>
  <si>
    <t>Economista
 (Sênior):</t>
  </si>
  <si>
    <t>Ambiental
 (Júnior):</t>
  </si>
  <si>
    <t>Advogado
 (Júnior)</t>
  </si>
  <si>
    <t>Advogado
 (Pleno)</t>
  </si>
  <si>
    <t>Nível Superior
(Pleno)</t>
  </si>
  <si>
    <t>Contador
(Júnior)</t>
  </si>
  <si>
    <t>Responsável</t>
  </si>
  <si>
    <t>1, 2, 3</t>
  </si>
  <si>
    <t>I</t>
  </si>
  <si>
    <t>Engenharia</t>
  </si>
  <si>
    <t xml:space="preserve">Adequação dos estudos de engenharia, com estimativa dos investimentos necessários à concessão. </t>
  </si>
  <si>
    <t>Quantidades</t>
  </si>
  <si>
    <t>Larissa</t>
  </si>
  <si>
    <t>1 (Pré AP)</t>
  </si>
  <si>
    <t>2 (Pós AP)</t>
  </si>
  <si>
    <t>3 (Pós TCU)</t>
  </si>
  <si>
    <t>II</t>
  </si>
  <si>
    <t>Demanda</t>
  </si>
  <si>
    <t xml:space="preserve">Adequação dos estudos de demanda com as projeções de volume de transporte de cargas e de passageiros previstos para o período da concessão. </t>
  </si>
  <si>
    <t>Paulo</t>
  </si>
  <si>
    <t>III</t>
  </si>
  <si>
    <t>Operacionais</t>
  </si>
  <si>
    <t xml:space="preserve">Adequação dos estudos operacionais com identificação da capacidade da concessão. </t>
  </si>
  <si>
    <t>IV</t>
  </si>
  <si>
    <t>Ambientais</t>
  </si>
  <si>
    <t xml:space="preserve">Adequação de estudos ambientais e avaliação socioeconômica, bem como assessoramento no fornecimento de informações demandas interna e externamente acerca de questões ambientais e socioeconômicas, das novas outorgas e prorrogações antecipadas de ferrovias e rodovias. </t>
  </si>
  <si>
    <t>V</t>
  </si>
  <si>
    <t>MEF</t>
  </si>
  <si>
    <t xml:space="preserve">Adequação para a elaboração de estudos e pesquisas econômico-financeiras para subsidiar os processos de prorrogação contratual e novas outorgas. </t>
  </si>
  <si>
    <t>VI</t>
  </si>
  <si>
    <t>Júrídicos</t>
  </si>
  <si>
    <t xml:space="preserve">Adequação de documentos, estudos e pesquisas jurídico-regulatório para subsidiar os processos de prorrogação contratual e novas outorgas.  </t>
  </si>
  <si>
    <t>Marcelo</t>
  </si>
  <si>
    <t>VII</t>
  </si>
  <si>
    <t>Ajustes Estudos</t>
  </si>
  <si>
    <t>Necessidade de verificação e acompanhamentos das razões e aspectos técnicos dos ajustes feitos ao longo dos processos.</t>
  </si>
  <si>
    <t>Gestão</t>
  </si>
  <si>
    <t xml:space="preserve">Criação e gerenciamento de cronogramas de projetos de novas outorgas e prorrogações antecipadas, de Planejamento Estratégico e Plano de Gestão Anual, relativos à Superintendência.  </t>
  </si>
  <si>
    <t>Cynthia</t>
  </si>
  <si>
    <t>Produto</t>
  </si>
  <si>
    <t>Qtde de profissionais necessários</t>
  </si>
  <si>
    <t>Total de horas mês</t>
  </si>
  <si>
    <t>Dias no trimestre</t>
  </si>
  <si>
    <t>Total de dias no trimestre</t>
  </si>
  <si>
    <t>HDM-4 – Highway Development Management</t>
  </si>
  <si>
    <t>@risk</t>
  </si>
  <si>
    <t>RTC</t>
  </si>
  <si>
    <t>Resumo por produto:</t>
  </si>
  <si>
    <t>Total de horas(úteis)  por mês :</t>
  </si>
  <si>
    <t>Fonte: Tabela de Preços de Consultoria do Departamento Nacional de Infraestrutura de
Transportes - DNIT Nº 11, DE 21 DE AGOSTO DE 2020</t>
  </si>
  <si>
    <t>Engenheiro de projetos pleno</t>
  </si>
  <si>
    <t>P8066</t>
  </si>
  <si>
    <t>Engenheiro de projetos júnior</t>
  </si>
  <si>
    <t>P8065</t>
  </si>
  <si>
    <t>Engenheiro ambiental júnior</t>
  </si>
  <si>
    <t>P8057</t>
  </si>
  <si>
    <t>Contador júnior</t>
  </si>
  <si>
    <t>P8040</t>
  </si>
  <si>
    <t>Economista sênior</t>
  </si>
  <si>
    <t>P8047</t>
  </si>
  <si>
    <t>Economista júnior</t>
  </si>
  <si>
    <t>P8045</t>
  </si>
  <si>
    <t>Profissional Nível Superior - Pleno*</t>
  </si>
  <si>
    <t>Advogado Pleno</t>
  </si>
  <si>
    <t>P8002</t>
  </si>
  <si>
    <t>Advogado júnior</t>
  </si>
  <si>
    <t>P8001</t>
  </si>
  <si>
    <t>R$</t>
  </si>
  <si>
    <t>%</t>
  </si>
  <si>
    <t>Seguro de Vida</t>
  </si>
  <si>
    <t>Assistência Médica</t>
  </si>
  <si>
    <t>Básica Cesta</t>
  </si>
  <si>
    <t>Exame Ocupacional</t>
  </si>
  <si>
    <t>Transporte</t>
  </si>
  <si>
    <t>Ferramenta</t>
  </si>
  <si>
    <t>EPI</t>
  </si>
  <si>
    <t>Alimentação</t>
  </si>
  <si>
    <t>Custo Total</t>
  </si>
  <si>
    <t>Encargos Totais</t>
  </si>
  <si>
    <t>Encargos Adicionais</t>
  </si>
  <si>
    <t>Encargos Complementares</t>
  </si>
  <si>
    <t>Encargos Sociais (R$)</t>
  </si>
  <si>
    <t>Encargos Sociais (%)</t>
  </si>
  <si>
    <t>Salário (R$)</t>
  </si>
  <si>
    <t>Und</t>
  </si>
  <si>
    <t>Categoria profissional</t>
  </si>
  <si>
    <t>Código Consultiva Engenharia</t>
  </si>
  <si>
    <t>Tabela 1 - Consolidação dos custos de mão de obra da engenharia consultiva - mês de referência: janeiro de 2020</t>
  </si>
  <si>
    <t>https://www.gov.br/dnit/pt-br/assuntos/planejamento-e-pesquisa/custos-e-pagamentos/custos-e-pagamentos-dnit/engenharia-consultiva/tabela-de-precos-de-consultoria-resolucao-no-11-2020/resolucao-11-2020.pdf</t>
  </si>
  <si>
    <t>Disponível em:</t>
  </si>
  <si>
    <t>Institui a Tabela de Preços de Consultoria do 
Departamento Nacional de Infraestrutura de
Transportes</t>
  </si>
  <si>
    <t>RESOLUÇÃO DNIT Nº 11, DE 21 DE AGOSTO DE 2020</t>
  </si>
  <si>
    <t>Obs:</t>
  </si>
  <si>
    <t>Total - BDI(%)</t>
  </si>
  <si>
    <t>Subtotal 3</t>
  </si>
  <si>
    <t>5,00% do PV</t>
  </si>
  <si>
    <t>ISSQN*</t>
  </si>
  <si>
    <t>7,60% do PV</t>
  </si>
  <si>
    <t>COFINS</t>
  </si>
  <si>
    <t>1,65% do PV</t>
  </si>
  <si>
    <t>PIS</t>
  </si>
  <si>
    <t>% sobre CD</t>
  </si>
  <si>
    <t>% sobre PV</t>
  </si>
  <si>
    <t>Tributos</t>
  </si>
  <si>
    <t>Subtotal 2</t>
  </si>
  <si>
    <t>Variável - f (CD)</t>
  </si>
  <si>
    <t>Lucro Operacional</t>
  </si>
  <si>
    <t>Benefícios</t>
  </si>
  <si>
    <t>Subtotal 1</t>
  </si>
  <si>
    <t>0,10% do PV</t>
  </si>
  <si>
    <t>Garantias Contratuais</t>
  </si>
  <si>
    <t>0,50% do PV</t>
  </si>
  <si>
    <t>Riscos</t>
  </si>
  <si>
    <t>0,19% sobre (PV – Lucro)</t>
  </si>
  <si>
    <t>Despesas Financeiras</t>
  </si>
  <si>
    <t>Administração Central</t>
  </si>
  <si>
    <t>Despesas indiretas</t>
  </si>
  <si>
    <t>Benefícios e despesas indiretas - BDI</t>
  </si>
  <si>
    <t>Tabela 3 - Benefícios e Despesas Indiretas para a Engenharia Consultiva</t>
  </si>
  <si>
    <t>Item 4.2.1.1 - Dimensionamento da área - AE = 57,95/2 + (4,5 × NF), onde:
AE representa a área de escritório (m²);
NF representa o número de ocupantes (ocupante)</t>
  </si>
  <si>
    <r>
      <t>Item 5 - Os custos diversos se associam aos dispêndios relacionados às concessionárias de energia, de abastecimento de água e saneamento, de telefonia, além de custos com correios, limpeza, materiais de escritório e</t>
    </r>
    <r>
      <rPr>
        <b/>
        <sz val="11"/>
        <color theme="1"/>
        <rFont val="Calibri"/>
        <family val="2"/>
        <scheme val="minor"/>
      </rPr>
      <t xml:space="preserve"> informática.</t>
    </r>
  </si>
  <si>
    <t>Obs nova tabela de consultoria DNIT:</t>
  </si>
  <si>
    <t xml:space="preserve">R$ x ocupante/mês </t>
  </si>
  <si>
    <t>Escritório</t>
  </si>
  <si>
    <t>B8959</t>
  </si>
  <si>
    <t>Custos diversos</t>
  </si>
  <si>
    <t>B8953</t>
  </si>
  <si>
    <t>Mobiliário</t>
  </si>
  <si>
    <t>R$/m² x mês</t>
  </si>
  <si>
    <t>Comercial (2,32% do C.M.C.C - SINAPI)</t>
  </si>
  <si>
    <t>B8951</t>
  </si>
  <si>
    <t>Imóveis</t>
  </si>
  <si>
    <t>Custos</t>
  </si>
  <si>
    <t>Tipo</t>
  </si>
  <si>
    <t>Código engenharia consultiva</t>
  </si>
  <si>
    <t xml:space="preserve">Tabela 2 - Custos de imóveis, mobiliário, cestas de instalações e custos diversos da Engenharia Consultiva - mês de referência: janeiro/2020 </t>
  </si>
  <si>
    <t>P8061</t>
  </si>
  <si>
    <t>Engenheiro coordenador</t>
  </si>
  <si>
    <t>Custo por hora</t>
  </si>
  <si>
    <t>Despesas indiretas (adm central, despesas financeiras, riscos e garantias contratuais</t>
  </si>
  <si>
    <t>Benefícios (lucro operacional)</t>
  </si>
  <si>
    <t>Tributos (PIS, COFINS e ISS)</t>
  </si>
  <si>
    <t>Data base: Janeiro/2020</t>
  </si>
  <si>
    <t>Custos Gerenciais</t>
  </si>
  <si>
    <t>Software</t>
  </si>
  <si>
    <t>2.3</t>
  </si>
  <si>
    <t>Imóveis, Mobiliário e diversos*</t>
  </si>
  <si>
    <t>7.3</t>
  </si>
  <si>
    <t xml:space="preserve">Número de ocupantes da equipe que utilizarão os espaços para o desenvolvimento de atividades: </t>
  </si>
  <si>
    <r>
      <t>a) Item 5 - Os custos diversos se associam aos dispêndios relacionados às concessionárias de energia, de abastecimento de água e saneamento, de telefonia, além de custos com correios, limpeza, materiais de escritório e</t>
    </r>
    <r>
      <rPr>
        <b/>
        <sz val="11"/>
        <color theme="1"/>
        <rFont val="Calibri"/>
        <family val="2"/>
        <scheme val="minor"/>
      </rPr>
      <t xml:space="preserve"> informática.</t>
    </r>
  </si>
  <si>
    <t>b)Item 4.2.1.1 - Dimensionamento da área - AE = 57,95/2 + (4,5 × NF), onde:
AE representa a área de escritório (m²);
NF representa o número de ocupantes (ocupante)</t>
  </si>
  <si>
    <t>Dimensionamento da área de escritório (m2), conforme item 4.2.1.1 do anexo I,  Resolução DNIT Nº 11</t>
  </si>
  <si>
    <t>Observaçoes da nova tabela de consultoria DNIT:</t>
  </si>
  <si>
    <t>Custo da instalação referencial para a contratação (R$/mês)</t>
  </si>
  <si>
    <t>Custo de mobiliário referencial para a contratação (R$/mês)</t>
  </si>
  <si>
    <t>Custos diversos referenciais para a contratação (R$/mês)</t>
  </si>
  <si>
    <t>Custo Gerencial por hora (Custo gerencial / Quantidade Horas)</t>
  </si>
  <si>
    <t>Custos Gerenciais  (mês)</t>
  </si>
  <si>
    <t>Despesas indiretas (adm central, despesas financeiras, riscos e garantias contratuais)</t>
  </si>
  <si>
    <t>Insumo</t>
  </si>
  <si>
    <t>O programa HDM-4 foi idealizado para a análise econômica de rede rodoviária para investimentos com restrição orçamentária, buscando atingir a maior extensão possível, visando o maior retorno através do Valor Presente Líquido dos diversos cenários estudados, dentro de um horizonte de projeto (por exemplo 20 anos), podendo analisar diversas alternativas de intervenção para cada célula, indicando a época para a realização dos investimentos, tendo como objetivo final a melhor condição da rede no final do horizonte de projeto. São dados de entrada para a rodada do HDM-4 as condições atuais dos pavimentos das rodovias, obtidas no Banco de Dados para cada célula (extensões, estrutura, volume de tráfego, defeitos, irregularidade, deflectometria, geometria - largura de pista, largura de acostamentos, declividades médias, índice de curvatura, etc. - condições climáticas, de topografia, idade do pavimento, idade da última restauração, etc.), dados da frota nacional (tipo de veículos, peso, custos de aquisição e de manutenção, custo do combustível), as políticas de intervenção (tipo de manutenção ou restauração e custo) e os cenários de investimento.</t>
  </si>
  <si>
    <t>É um plug-in do Excel para que se possa realizar a análise de riscos com base na simulação de Montecarlo. Essa ferramenta é fundamental para avaliação do contingenciamento de recursos decorrente de riscos de um projeto.</t>
  </si>
  <si>
    <t>É um software que simula a movimentação dos trens em uma rede ferroviária, em nível detalhado e realista. É utilizado para diversos propósitos, desde aprimoramentos estratégicos do fluxo de tráfego, até a determinação de onde deve ser aplicado o capital para a infraestrutura.</t>
  </si>
  <si>
    <t>Valor</t>
  </si>
  <si>
    <t>US$ 5.000,00 – R$ 28.752,50 (US$ 1,00 = R$ 5,75, cotação em 29/10/2020)</t>
  </si>
  <si>
    <t>US$ 4.929,00 – R$ 28.344,21 (US$ 1,00 = R$ 5,75, cotação em 29/10/2020)</t>
  </si>
  <si>
    <t>US$ 50.000,00 e manutenção anual de US$ 5.000,00 - R$ 316.277,50 (US$ 1,00 = R$ 5,75, cotação em 29/10/2020)</t>
  </si>
  <si>
    <t>Conforme indicado no TR</t>
  </si>
  <si>
    <t>R$ por mÊs</t>
  </si>
  <si>
    <t>Levantamento realizado pela Surod, no processo 50500.332517/2019-11, para os softwares HDM-4 e @risk;</t>
  </si>
  <si>
    <t>Pesquisa de preço do software RTC no endereço www.berkeleysimulation.com;</t>
  </si>
  <si>
    <t>P8060</t>
  </si>
  <si>
    <t>-</t>
  </si>
  <si>
    <t>Engenheiro consultor especial</t>
  </si>
  <si>
    <t xml:space="preserve">* salário base obtido de outra outra fonte, a saber: Para a especialidade Supervisor de Serviço de Transporte Pleno, optou-se por utilizar como salário base no termo de referência o valor de R$ R$ 6.995,14, o qual foi orçado no  Pregão Eletrônico nº 10/2020, realizado pela ANTT no âmbito do Processo nº 50500.332517/2019-11(contratação de prestação de serviços técnicos especializados de engenharia consultiva para o apoio ao desenvolvimento das atividades de competência legal da gerência de engenharia e meio ambiente de rodovias da Superintendência de Exploração de Infraestrutura de Rodovias - SUINF da Agência Nacional de Transportes Terrestres – ANTT). Como a referência do valor pesquisado é de março/2020, foi utilizado o índice de consultoria para levar o valor à base de  janeiro de 2020, período base deste orçamento de referência.  </t>
  </si>
  <si>
    <t xml:space="preserve">índice de consultoria disponivel em https://www.gov.br/dnit/pt-br/assuntos/planejamento-e-pesquisa/custos-e-pagamentos/custos-e-pagamentos-dnit/custos-referenciais: </t>
  </si>
  <si>
    <t>Var% jan a mar</t>
  </si>
  <si>
    <t>referencia: jan/2020</t>
  </si>
  <si>
    <t>referencia: mar/2020</t>
  </si>
  <si>
    <t xml:space="preserve">Custos Gerenciais e Indiretos </t>
  </si>
  <si>
    <t xml:space="preserve">Resumo do orçamento referencial   - Anual </t>
  </si>
  <si>
    <r>
      <t>* Os custos diversos se associam aos dispêndios relacionados às concessionárias de energia, de abastecimento de água e saneamento, de telefonia, além de custos com correios, limpeza, materiais de escritório e i</t>
    </r>
    <r>
      <rPr>
        <b/>
        <sz val="10"/>
        <color rgb="FF000000"/>
        <rFont val="Arial"/>
        <family val="2"/>
      </rPr>
      <t>nformática.</t>
    </r>
  </si>
  <si>
    <t>Custos diversos*</t>
  </si>
  <si>
    <t>Desmembramento dos produtos por projetos:</t>
  </si>
  <si>
    <t>1- ELABORAÇÃO DE DOCUMENTOS PARA AUDIÊNCIA PÚBLICA DOS PROJETOS DE CONCESSÃO E PRORROGAÇÕES ANTECIPADAS</t>
  </si>
  <si>
    <t>Grupo de Produto</t>
  </si>
  <si>
    <t>Grupop de Produto</t>
  </si>
  <si>
    <t>GRUPO</t>
  </si>
  <si>
    <t>2-AJUSTES DE DOCUMENTOS APÓS AUDIÊNCIA PÚBLICA DOS PROJETOS DE CONCESSÃO E PRORROGAÇÕES ANTECIPADAS</t>
  </si>
  <si>
    <t>3-AJUSTES DE DOCUMENTOS DURANTE E APÓS ANÁLISE PELO TRIBUNAL DE CONTAS DA UNIÃO DOS PROJETOS DE CONCESSÃO E PRORROGAÇÕES ANTECIPADAS</t>
  </si>
  <si>
    <t xml:space="preserve"> A</t>
  </si>
  <si>
    <t>Adequação de estudos e documentos de viabilidade técnica, ambiental, econômica e jurídica, com justificativas das alterações da BR-040/495/MG/RJ (Concer)</t>
  </si>
  <si>
    <t>Adequação de estudos e documentos de viabilidade técnica, ambiental, econômica e jurídica, com justificativas das alterações das Rodovias Contratação BNDES</t>
  </si>
  <si>
    <t>Adequação de estudos e documentos de viabilidade técnica, ambiental, econômica e jurídica, com justificativas das alterações da BR--040/DF/GO/MG</t>
  </si>
  <si>
    <t>Adequação de estudos e documentos de viabilidade técnica, ambiental, econômica e jurídica, com justificativas das alterações da BR-135/316/MA</t>
  </si>
  <si>
    <t>DESCRIÇÃO/ ESPECIFICAÇÃO</t>
  </si>
  <si>
    <t>Adequação de estudos e documentos de viabilidade técnica, ambiental, econômica e jurídica, com justificativas das alterações das Rodovias Integradas do Paraná</t>
  </si>
  <si>
    <t>Adequação de estudos e documentos de viabilidade técnica, ambiental, econômica e jurídica, com justificativas das alterações da BR 116/493/RJ/MG (CRT)</t>
  </si>
  <si>
    <t>Adequação de estudos e documentos de viabilidade técnica, ambiental, econômica e jurídica, com justificativas das alterações da BR-470/282/153/SC</t>
  </si>
  <si>
    <t>Adequação de estudos e documentos de viabilidade técnica, ambiental, econômica e jurídica, com justificativas das alterações da Rodovias Contratação BNDES (5.300 km)</t>
  </si>
  <si>
    <t>Adequação de estudos e documentos de viabilidade técnica, ambiental, econômica e jurídica, com justificativas das alterações da BR-040/DF/GO/MG</t>
  </si>
  <si>
    <t>Adequação de estudos e documentos de viabilidade técnica, ambiental, econômica e jurídica, com justificativas das alterações da BR-158/155/MT/PA</t>
  </si>
  <si>
    <t>Adequação de estudos e documentos de viabilidade técnica, ambiental, econômica e jurídica, com justificativas das alterações da Prorrogação Antecipada FCA</t>
  </si>
  <si>
    <t>Adequação de estudos e documentos de viabilidade técnica, ambiental, econômica e jurídica, com justificativas das alterações da Prorrogação Antecipada MRS</t>
  </si>
  <si>
    <t>Produto 1</t>
  </si>
  <si>
    <t>Adequação de estudos e documentos de viabilidade técnica, ambiental, econômica e jurídica, com justificativas das alterações da BR-381/262/MG/ES</t>
  </si>
  <si>
    <t>Adequação de estudos e documentos de viabilidade técnica, ambiental, econômica e jurídica, com justificativas das alterações da BR-116/101/SP/RJ (Dutra)</t>
  </si>
  <si>
    <t>Adequação de estudos e documentos de viabilidade técnica, ambiental, econômica e jurídica, com justificativas das alterações da BR-116/493/RJ/MG (CRT)</t>
  </si>
  <si>
    <t>Adequação de estudos e documentos de viabilidade técnica, ambiental, econômica e jurídica, com justificativas das alterações da EF-170 (Ferrogrão)</t>
  </si>
  <si>
    <t>Acompanhar e atualizar metas do Plano de Gestão Anual e Plano Estratégico</t>
  </si>
  <si>
    <t>Elaboração/atualização de cronograma do projeto da BR-381/262/MG/ES</t>
  </si>
  <si>
    <t>Elaboração/atualização de cronograma do projeto da BR-116/101/SP/RJ (Dutra)</t>
  </si>
  <si>
    <t>Elaboração/atualização de cronograma do projeto da BR-116/493/RJ/MG (CRT)</t>
  </si>
  <si>
    <t>Elaboração/atualização de cronograma do projeto da EF-334 (FIOL)</t>
  </si>
  <si>
    <t>Elaboração/atualização de cronograma do projeto da EF-170 (Ferrogrão)</t>
  </si>
  <si>
    <t>Elaboração/atualização de cronograma do projeto da BR-470/282/153/SC</t>
  </si>
  <si>
    <t>Elaboração/atualização de cronograma do projeto da BR-040/495/MG/RJ (Concer)</t>
  </si>
  <si>
    <t>Elaboração/atualização de cronograma do projeto das Rodovias Contratação BNDES (5.300 km)</t>
  </si>
  <si>
    <t>Elaboração/atualização de cronograma do projeto da BR-040/DF/GO/MG</t>
  </si>
  <si>
    <t>Elaboração/atualização de cronograma do projeto da BR-158/155/MT/PA</t>
  </si>
  <si>
    <t>Elaboração/atualização de cronograma do projeto da BR-135/316/MA</t>
  </si>
  <si>
    <t>Elaboração/atualização de cronograma do projeto da Prorrogação Antecipada FCA</t>
  </si>
  <si>
    <t>Elaboração/atualização de cronograma do projeto da Prorrogação Antecipada MRS</t>
  </si>
  <si>
    <t>Elaboração/atualização de cronograma do projeto das Rodovias Integradas do Paraná</t>
  </si>
  <si>
    <t>Grupo de produtos A - ELABORAÇÃO DE DOCUMENTOS PARA AUDIÊNCIA PÚBLICA DOS PROJETOS DE CONCESSÃO E PRORROGAÇÕES ANTECIPADAS</t>
  </si>
  <si>
    <t>Grupo de produtos B - AJUSTES DE DOCUMENTOS APÓS AUDIÊNCIA PÚBLICA DOS PROJETOS DE CONCESSÃO E PRORROGAÇÕES ANTECIPADAS</t>
  </si>
  <si>
    <t>Grupo de produtos C - AJUSTES DE DOCUMENTOS DURANTE E APÓS ANÁLISE PELO TRIBUNAL DE CONTAS DA UNIÃO DOS PROJETOS DE CONCESSÃO E PRORROGAÇÕES ANTECIPADAS</t>
  </si>
  <si>
    <t>Grupo de produtos D - ELABORAÇÃO DE CRONOGRAMA PARA GESTÃO DE PROJETOS DE CONCESSÃO E PRORROGAÇÕES ANTECIPADAS</t>
  </si>
  <si>
    <t>Anual</t>
  </si>
  <si>
    <t>Qtde de produtos</t>
  </si>
  <si>
    <t>Produto 2</t>
  </si>
  <si>
    <t>Produto 3</t>
  </si>
  <si>
    <t>Produto 4</t>
  </si>
  <si>
    <t>Descrição/Especificação</t>
  </si>
  <si>
    <t>Valor unitário</t>
  </si>
  <si>
    <t>Valor total</t>
  </si>
  <si>
    <t>,</t>
  </si>
  <si>
    <t>Unidade de Medida</t>
  </si>
  <si>
    <t>Valor Unitário Máximo Aceitável</t>
  </si>
  <si>
    <t>Valor Total Máximo Aceitável</t>
  </si>
  <si>
    <t>Relatório</t>
  </si>
  <si>
    <t>Planilha estimativa de custos e formação de preços</t>
  </si>
  <si>
    <t>1 (+11 parciais por mês)</t>
  </si>
  <si>
    <t>1(+ 11 parciais por mês)</t>
  </si>
  <si>
    <t>Valor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</si>
</sst>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 #,##0.00_-;_-* &quot;-&quot;??_-;_-@_-"/>
    <numFmt numFmtId="164" formatCode="_-&quot;R$&quot;\ * #,##0.00_-;\-&quot;R$&quot;\ * #,##0.00_-;_-&quot;R$&quot;\ * &quot;-&quot;??_-;_-@_-"/>
    <numFmt numFmtId="165" formatCode="&quot;R$&quot;\ #,##0.00"/>
    <numFmt numFmtId="166" formatCode="000.00\ &quot;km&quot;"/>
    <numFmt numFmtId="167" formatCode="_-* #,##0.00_-;\-* #,##0.00_-;_-* \-??_-;_-@_-"/>
    <numFmt numFmtId="168" formatCode="_(* #,##0.00_);_(* \(#,##0.00\);_(* \-??_);_(@_)"/>
    <numFmt numFmtId="169" formatCode="_-* #,##0.0000_-;\-* #,##0.0000_-;_-* &quot;-&quot;??_-;_-@_-"/>
  </numFmts>
  <fonts count="42">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font>
    <font>
      <sz val="10"/>
      <color indexed="8"/>
      <name val="Arial"/>
      <family val="2"/>
    </font>
    <font>
      <sz val="14"/>
      <color theme="1"/>
      <name val="Arial"/>
      <family val="2"/>
    </font>
    <font>
      <sz val="12"/>
      <color theme="1"/>
      <name val="Arial"/>
      <family val="2"/>
    </font>
    <font>
      <sz val="10"/>
      <name val="Arial"/>
      <family val="2"/>
    </font>
    <font>
      <b/>
      <sz val="10"/>
      <name val="Arial"/>
      <family val="2"/>
    </font>
    <font>
      <b/>
      <sz val="12"/>
      <color indexed="9"/>
      <name val="Arial"/>
      <family val="2"/>
    </font>
    <font>
      <b/>
      <sz val="10"/>
      <color indexed="8"/>
      <name val="Arial"/>
      <family val="2"/>
    </font>
    <font>
      <b/>
      <sz val="12"/>
      <color indexed="8"/>
      <name val="Calibri"/>
      <family val="2"/>
    </font>
    <font>
      <b/>
      <sz val="11"/>
      <color indexed="8"/>
      <name val="Arial"/>
      <family val="2"/>
    </font>
    <font>
      <sz val="12"/>
      <color indexed="8"/>
      <name val="Calibri"/>
      <family val="2"/>
    </font>
    <font>
      <b/>
      <sz val="10"/>
      <color indexed="8"/>
      <name val="Calibri"/>
      <family val="2"/>
    </font>
    <font>
      <b/>
      <sz val="11"/>
      <color indexed="8"/>
      <name val="Calibri"/>
      <family val="2"/>
    </font>
    <font>
      <i/>
      <sz val="11"/>
      <color indexed="8"/>
      <name val="Calibri"/>
      <family val="2"/>
    </font>
    <font>
      <sz val="10"/>
      <color indexed="10"/>
      <name val="Arial"/>
      <family val="2"/>
    </font>
    <font>
      <sz val="11"/>
      <name val="Arial"/>
      <family val="2"/>
    </font>
    <font>
      <b/>
      <sz val="11"/>
      <name val="Arial"/>
      <family val="2"/>
    </font>
    <font>
      <sz val="9"/>
      <name val="Arial"/>
      <family val="2"/>
    </font>
    <font>
      <b/>
      <sz val="9"/>
      <name val="Arial"/>
      <family val="2"/>
    </font>
    <font>
      <sz val="9"/>
      <color indexed="8"/>
      <name val="Calibri"/>
      <family val="2"/>
    </font>
    <font>
      <b/>
      <sz val="10"/>
      <color indexed="9"/>
      <name val="Arial"/>
      <family val="2"/>
    </font>
    <font>
      <sz val="10"/>
      <color theme="5"/>
      <name val="Arial"/>
      <family val="2"/>
    </font>
    <font>
      <sz val="10"/>
      <color indexed="8"/>
      <name val="Calibri"/>
      <family val="2"/>
    </font>
    <font>
      <sz val="11"/>
      <color theme="1"/>
      <name val="Arial"/>
      <family val="2"/>
    </font>
    <font>
      <b/>
      <sz val="8"/>
      <color rgb="FFFFFFFF"/>
      <name val="Calibri"/>
      <family val="2"/>
    </font>
    <font>
      <b/>
      <sz val="8"/>
      <color rgb="FF000000"/>
      <name val="Calibri"/>
      <family val="2"/>
    </font>
    <font>
      <u/>
      <sz val="11"/>
      <color theme="10"/>
      <name val="Calibri"/>
      <family val="2"/>
      <scheme val="minor"/>
    </font>
    <font>
      <sz val="10"/>
      <color theme="1"/>
      <name val="Arial"/>
      <family val="2"/>
    </font>
    <font>
      <b/>
      <sz val="10"/>
      <name val="Calibri"/>
      <family val="2"/>
    </font>
    <font>
      <sz val="10"/>
      <name val="&amp;quot"/>
    </font>
    <font>
      <b/>
      <sz val="11"/>
      <name val="Calibri"/>
      <family val="2"/>
      <scheme val="minor"/>
    </font>
    <font>
      <sz val="11"/>
      <name val="Calibri"/>
      <family val="2"/>
      <scheme val="minor"/>
    </font>
    <font>
      <b/>
      <sz val="10"/>
      <color rgb="FF000000"/>
      <name val="Arial"/>
      <family val="2"/>
    </font>
    <font>
      <b/>
      <sz val="11"/>
      <color theme="1"/>
      <name val="Arial"/>
      <family val="2"/>
    </font>
    <font>
      <b/>
      <sz val="10"/>
      <color theme="0"/>
      <name val="Arial"/>
      <family val="2"/>
    </font>
    <font>
      <b/>
      <sz val="9"/>
      <color theme="1"/>
      <name val="Arial"/>
      <family val="2"/>
    </font>
    <font>
      <sz val="9"/>
      <color theme="1"/>
      <name val="Arial"/>
      <family val="2"/>
    </font>
    <font>
      <sz val="12"/>
      <color theme="0"/>
      <name val="Arial"/>
      <family val="2"/>
    </font>
    <font>
      <b/>
      <sz val="14"/>
      <color theme="1"/>
      <name val="Arial"/>
      <family val="2"/>
    </font>
  </fonts>
  <fills count="2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indexed="62"/>
        <bgColor indexed="56"/>
      </patternFill>
    </fill>
    <fill>
      <patternFill patternType="solid">
        <fgColor theme="0"/>
        <bgColor indexed="26"/>
      </patternFill>
    </fill>
    <fill>
      <patternFill patternType="solid">
        <fgColor theme="0" tint="-4.9989318521683403E-2"/>
        <bgColor indexed="64"/>
      </patternFill>
    </fill>
    <fill>
      <patternFill patternType="solid">
        <fgColor rgb="FFFFFF66"/>
        <bgColor indexed="23"/>
      </patternFill>
    </fill>
    <fill>
      <patternFill patternType="solid">
        <fgColor theme="0"/>
        <bgColor indexed="34"/>
      </patternFill>
    </fill>
    <fill>
      <patternFill patternType="solid">
        <fgColor theme="3" tint="0.79998168889431442"/>
        <bgColor indexed="34"/>
      </patternFill>
    </fill>
    <fill>
      <patternFill patternType="solid">
        <fgColor theme="3" tint="0.79998168889431442"/>
        <bgColor indexed="64"/>
      </patternFill>
    </fill>
    <fill>
      <patternFill patternType="solid">
        <fgColor theme="4"/>
        <bgColor indexed="22"/>
      </patternFill>
    </fill>
    <fill>
      <patternFill patternType="solid">
        <fgColor theme="0"/>
        <bgColor indexed="23"/>
      </patternFill>
    </fill>
    <fill>
      <patternFill patternType="solid">
        <fgColor rgb="FF808080"/>
        <bgColor indexed="64"/>
      </patternFill>
    </fill>
    <fill>
      <patternFill patternType="solid">
        <fgColor rgb="FFFFFFFF"/>
        <bgColor indexed="64"/>
      </patternFill>
    </fill>
    <fill>
      <patternFill patternType="solid">
        <fgColor rgb="FFD9D9D9"/>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0" tint="-0.34998626667073579"/>
        <bgColor indexed="64"/>
      </patternFill>
    </fill>
  </fills>
  <borders count="86">
    <border>
      <left/>
      <right/>
      <top/>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right/>
      <top style="medium">
        <color auto="1"/>
      </top>
      <bottom/>
      <diagonal/>
    </border>
    <border>
      <left style="medium">
        <color indexed="64"/>
      </left>
      <right/>
      <top style="medium">
        <color indexed="64"/>
      </top>
      <bottom style="medium">
        <color indexed="8"/>
      </bottom>
      <diagonal/>
    </border>
    <border>
      <left/>
      <right/>
      <top style="medium">
        <color indexed="64"/>
      </top>
      <bottom style="medium">
        <color indexed="8"/>
      </bottom>
      <diagonal/>
    </border>
    <border>
      <left/>
      <right style="medium">
        <color indexed="64"/>
      </right>
      <top style="medium">
        <color indexed="64"/>
      </top>
      <bottom style="medium">
        <color indexed="8"/>
      </bottom>
      <diagonal/>
    </border>
    <border>
      <left/>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style="medium">
        <color indexed="8"/>
      </right>
      <top style="medium">
        <color indexed="8"/>
      </top>
      <bottom style="medium">
        <color indexed="8"/>
      </bottom>
      <diagonal/>
    </border>
    <border>
      <left style="thin">
        <color indexed="8"/>
      </left>
      <right style="medium">
        <color indexed="64"/>
      </right>
      <top style="medium">
        <color indexed="8"/>
      </top>
      <bottom style="medium">
        <color indexed="8"/>
      </bottom>
      <diagonal/>
    </border>
    <border>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medium">
        <color indexed="8"/>
      </right>
      <top style="medium">
        <color indexed="8"/>
      </top>
      <bottom style="medium">
        <color indexed="64"/>
      </bottom>
      <diagonal/>
    </border>
    <border>
      <left style="thin">
        <color indexed="8"/>
      </left>
      <right style="medium">
        <color indexed="64"/>
      </right>
      <top style="medium">
        <color indexed="8"/>
      </top>
      <bottom style="medium">
        <color indexed="64"/>
      </bottom>
      <diagonal/>
    </border>
    <border>
      <left/>
      <right/>
      <top/>
      <bottom style="medium">
        <color indexed="8"/>
      </bottom>
      <diagonal/>
    </border>
    <border>
      <left style="medium">
        <color indexed="8"/>
      </left>
      <right style="hair">
        <color indexed="8"/>
      </right>
      <top style="medium">
        <color indexed="8"/>
      </top>
      <bottom style="hair">
        <color indexed="8"/>
      </bottom>
      <diagonal/>
    </border>
    <border>
      <left/>
      <right style="hair">
        <color indexed="8"/>
      </right>
      <top style="medium">
        <color indexed="8"/>
      </top>
      <bottom style="hair">
        <color indexed="8"/>
      </bottom>
      <diagonal/>
    </border>
    <border>
      <left style="hair">
        <color indexed="8"/>
      </left>
      <right style="hair">
        <color indexed="8"/>
      </right>
      <top style="medium">
        <color indexed="8"/>
      </top>
      <bottom style="hair">
        <color indexed="8"/>
      </bottom>
      <diagonal/>
    </border>
    <border>
      <left style="hair">
        <color indexed="8"/>
      </left>
      <right style="medium">
        <color indexed="8"/>
      </right>
      <top style="medium">
        <color indexed="8"/>
      </top>
      <bottom style="hair">
        <color indexed="8"/>
      </bottom>
      <diagonal/>
    </border>
    <border>
      <left style="hair">
        <color indexed="8"/>
      </left>
      <right/>
      <top/>
      <bottom/>
      <diagonal/>
    </border>
    <border>
      <left style="medium">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medium">
        <color indexed="8"/>
      </right>
      <top style="hair">
        <color indexed="8"/>
      </top>
      <bottom style="hair">
        <color indexed="8"/>
      </bottom>
      <diagonal/>
    </border>
    <border>
      <left style="medium">
        <color indexed="8"/>
      </left>
      <right style="hair">
        <color indexed="8"/>
      </right>
      <top style="hair">
        <color indexed="8"/>
      </top>
      <bottom style="medium">
        <color indexed="8"/>
      </bottom>
      <diagonal/>
    </border>
    <border>
      <left/>
      <right style="hair">
        <color indexed="8"/>
      </right>
      <top style="hair">
        <color indexed="8"/>
      </top>
      <bottom style="medium">
        <color indexed="8"/>
      </bottom>
      <diagonal/>
    </border>
    <border>
      <left style="hair">
        <color indexed="8"/>
      </left>
      <right style="hair">
        <color indexed="8"/>
      </right>
      <top style="hair">
        <color indexed="8"/>
      </top>
      <bottom style="medium">
        <color indexed="8"/>
      </bottom>
      <diagonal/>
    </border>
    <border>
      <left style="hair">
        <color indexed="8"/>
      </left>
      <right style="medium">
        <color indexed="8"/>
      </right>
      <top style="hair">
        <color indexed="8"/>
      </top>
      <bottom style="medium">
        <color indexed="8"/>
      </bottom>
      <diagonal/>
    </border>
    <border>
      <left style="medium">
        <color indexed="8"/>
      </left>
      <right style="medium">
        <color indexed="8"/>
      </right>
      <top style="medium">
        <color indexed="8"/>
      </top>
      <bottom style="thin">
        <color indexed="8"/>
      </bottom>
      <diagonal/>
    </border>
    <border>
      <left style="medium">
        <color auto="1"/>
      </left>
      <right/>
      <top style="medium">
        <color auto="1"/>
      </top>
      <bottom style="hair">
        <color auto="1"/>
      </bottom>
      <diagonal/>
    </border>
    <border>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top style="hair">
        <color auto="1"/>
      </top>
      <bottom style="medium">
        <color auto="1"/>
      </bottom>
      <diagonal/>
    </border>
    <border>
      <left/>
      <right style="hair">
        <color auto="1"/>
      </right>
      <top style="hair">
        <color auto="1"/>
      </top>
      <bottom style="medium">
        <color auto="1"/>
      </bottom>
      <diagonal/>
    </border>
    <border>
      <left style="hair">
        <color auto="1"/>
      </left>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top style="medium">
        <color indexed="8"/>
      </top>
      <bottom style="hair">
        <color indexed="8"/>
      </bottom>
      <diagonal/>
    </border>
    <border>
      <left/>
      <right/>
      <top style="medium">
        <color indexed="8"/>
      </top>
      <bottom style="hair">
        <color indexed="8"/>
      </bottom>
      <diagonal/>
    </border>
    <border>
      <left/>
      <right style="medium">
        <color indexed="8"/>
      </right>
      <top style="medium">
        <color indexed="8"/>
      </top>
      <bottom style="hair">
        <color indexed="8"/>
      </bottom>
      <diagonal/>
    </border>
    <border>
      <left style="medium">
        <color auto="1"/>
      </left>
      <right style="hair">
        <color auto="1"/>
      </right>
      <top style="hair">
        <color auto="1"/>
      </top>
      <bottom style="hair">
        <color auto="1"/>
      </bottom>
      <diagonal/>
    </border>
    <border>
      <left style="medium">
        <color indexed="64"/>
      </left>
      <right/>
      <top style="medium">
        <color indexed="8"/>
      </top>
      <bottom style="thin">
        <color indexed="8"/>
      </bottom>
      <diagonal/>
    </border>
    <border>
      <left/>
      <right/>
      <top style="medium">
        <color indexed="8"/>
      </top>
      <bottom style="thin">
        <color indexed="8"/>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auto="1"/>
      </left>
      <right style="hair">
        <color auto="1"/>
      </right>
      <top style="medium">
        <color auto="1"/>
      </top>
      <bottom style="hair">
        <color auto="1"/>
      </bottom>
      <diagonal/>
    </border>
    <border>
      <left style="medium">
        <color indexed="64"/>
      </left>
      <right/>
      <top style="thin">
        <color indexed="8"/>
      </top>
      <bottom style="medium">
        <color indexed="64"/>
      </bottom>
      <diagonal/>
    </border>
    <border>
      <left/>
      <right/>
      <top style="thin">
        <color indexed="8"/>
      </top>
      <bottom style="medium">
        <color indexed="64"/>
      </bottom>
      <diagonal/>
    </border>
    <border>
      <left style="medium">
        <color indexed="64"/>
      </left>
      <right style="hair">
        <color auto="1"/>
      </right>
      <top/>
      <bottom style="medium">
        <color indexed="64"/>
      </bottom>
      <diagonal/>
    </border>
    <border>
      <left style="hair">
        <color auto="1"/>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8"/>
      </top>
      <bottom style="hair">
        <color indexed="8"/>
      </bottom>
      <diagonal/>
    </border>
    <border>
      <left/>
      <right style="medium">
        <color indexed="8"/>
      </right>
      <top style="medium">
        <color indexed="8"/>
      </top>
      <bottom style="hair">
        <color indexed="8"/>
      </bottom>
      <diagonal/>
    </border>
    <border>
      <left style="hair">
        <color auto="1"/>
      </left>
      <right/>
      <top style="medium">
        <color auto="1"/>
      </top>
      <bottom style="hair">
        <color auto="1"/>
      </bottom>
      <diagonal/>
    </border>
    <border>
      <left/>
      <right style="medium">
        <color indexed="64"/>
      </right>
      <top style="medium">
        <color auto="1"/>
      </top>
      <bottom style="hair">
        <color auto="1"/>
      </bottom>
      <diagonal/>
    </border>
    <border>
      <left style="hair">
        <color auto="1"/>
      </left>
      <right style="hair">
        <color auto="1"/>
      </right>
      <top style="medium">
        <color auto="1"/>
      </top>
      <bottom/>
      <diagonal/>
    </border>
    <border>
      <left style="hair">
        <color auto="1"/>
      </left>
      <right style="hair">
        <color auto="1"/>
      </right>
      <top/>
      <bottom style="hair">
        <color auto="1"/>
      </bottom>
      <diagonal/>
    </border>
    <border>
      <left style="medium">
        <color indexed="64"/>
      </left>
      <right style="hair">
        <color auto="1"/>
      </right>
      <top style="medium">
        <color auto="1"/>
      </top>
      <bottom/>
      <diagonal/>
    </border>
    <border>
      <left style="medium">
        <color indexed="64"/>
      </left>
      <right style="hair">
        <color auto="1"/>
      </right>
      <top/>
      <bottom style="hair">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3">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xf numFmtId="167" fontId="3" fillId="0" borderId="0"/>
    <xf numFmtId="43" fontId="7" fillId="0" borderId="0" applyFill="0" applyBorder="0" applyAlignment="0" applyProtection="0"/>
    <xf numFmtId="9" fontId="7" fillId="0" borderId="0" applyFill="0" applyBorder="0" applyAlignment="0" applyProtection="0"/>
    <xf numFmtId="0" fontId="7" fillId="0" borderId="0"/>
    <xf numFmtId="0" fontId="7" fillId="0" borderId="0" applyFont="0" applyFill="0" applyBorder="0" applyAlignment="0" applyProtection="0"/>
    <xf numFmtId="0" fontId="29" fillId="0" borderId="0" applyNumberForma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7" fillId="0" borderId="0" applyFill="0" applyBorder="0" applyAlignment="0" applyProtection="0"/>
  </cellStyleXfs>
  <cellXfs count="421">
    <xf numFmtId="0" fontId="0" fillId="0" borderId="0" xfId="0"/>
    <xf numFmtId="0" fontId="0" fillId="2" borderId="0" xfId="0" applyFill="1"/>
    <xf numFmtId="0" fontId="6" fillId="2" borderId="0" xfId="0" applyFont="1" applyFill="1" applyProtection="1">
      <protection locked="0"/>
    </xf>
    <xf numFmtId="0" fontId="6" fillId="2" borderId="0" xfId="0" applyFont="1" applyFill="1" applyAlignment="1" applyProtection="1">
      <alignment horizontal="center"/>
      <protection locked="0"/>
    </xf>
    <xf numFmtId="0" fontId="6" fillId="0" borderId="0" xfId="0" applyFont="1" applyProtection="1">
      <protection locked="0"/>
    </xf>
    <xf numFmtId="0" fontId="6" fillId="0" borderId="0" xfId="0" applyFont="1" applyAlignment="1" applyProtection="1">
      <alignment horizontal="center"/>
      <protection locked="0"/>
    </xf>
    <xf numFmtId="0" fontId="3" fillId="0" borderId="0" xfId="3"/>
    <xf numFmtId="0" fontId="3" fillId="0" borderId="0" xfId="3" applyBorder="1"/>
    <xf numFmtId="0" fontId="11" fillId="0" borderId="0" xfId="3" applyFont="1" applyBorder="1" applyAlignment="1">
      <alignment horizontal="right"/>
    </xf>
    <xf numFmtId="166" fontId="12" fillId="0" borderId="0" xfId="3" applyNumberFormat="1" applyFont="1" applyFill="1" applyBorder="1" applyAlignment="1">
      <alignment horizontal="center" vertical="center"/>
    </xf>
    <xf numFmtId="0" fontId="13" fillId="0" borderId="0" xfId="3" applyFont="1" applyBorder="1" applyAlignment="1">
      <alignment horizontal="right"/>
    </xf>
    <xf numFmtId="0" fontId="4" fillId="0" borderId="4" xfId="3" applyFont="1" applyBorder="1" applyAlignment="1">
      <alignment vertical="center"/>
    </xf>
    <xf numFmtId="43" fontId="4" fillId="0" borderId="4" xfId="3" applyNumberFormat="1" applyFont="1" applyBorder="1" applyAlignment="1">
      <alignment vertical="center"/>
    </xf>
    <xf numFmtId="0" fontId="4" fillId="0" borderId="4" xfId="3" applyFont="1" applyBorder="1" applyAlignment="1">
      <alignment horizontal="center" vertical="center"/>
    </xf>
    <xf numFmtId="0" fontId="4" fillId="0" borderId="16" xfId="3" applyFont="1" applyBorder="1" applyAlignment="1">
      <alignment vertical="center"/>
    </xf>
    <xf numFmtId="0" fontId="4" fillId="0" borderId="16" xfId="3" applyFont="1" applyBorder="1" applyAlignment="1">
      <alignment horizontal="center" vertical="center"/>
    </xf>
    <xf numFmtId="167" fontId="4" fillId="2" borderId="0" xfId="4" applyFont="1" applyFill="1" applyBorder="1" applyAlignment="1" applyProtection="1">
      <alignment horizontal="center" vertical="center"/>
    </xf>
    <xf numFmtId="43" fontId="14" fillId="0" borderId="0" xfId="1" applyFont="1" applyBorder="1" applyAlignment="1">
      <alignment horizontal="right" vertical="center"/>
    </xf>
    <xf numFmtId="0" fontId="10" fillId="0" borderId="17" xfId="3" applyFont="1" applyFill="1" applyBorder="1" applyAlignment="1">
      <alignment horizontal="center" vertical="center"/>
    </xf>
    <xf numFmtId="0" fontId="10" fillId="0" borderId="18" xfId="3" applyFont="1" applyFill="1" applyBorder="1" applyAlignment="1">
      <alignment horizontal="center" vertical="center"/>
    </xf>
    <xf numFmtId="0" fontId="10" fillId="0" borderId="19" xfId="3" applyFont="1" applyFill="1" applyBorder="1" applyAlignment="1">
      <alignment horizontal="center" vertical="center"/>
    </xf>
    <xf numFmtId="0" fontId="10" fillId="0" borderId="19" xfId="3" applyFont="1" applyFill="1" applyBorder="1" applyAlignment="1">
      <alignment horizontal="center" vertical="center" wrapText="1"/>
    </xf>
    <xf numFmtId="49" fontId="10" fillId="0" borderId="20" xfId="3" applyNumberFormat="1" applyFont="1" applyFill="1" applyBorder="1" applyAlignment="1">
      <alignment horizontal="center" vertical="center" wrapText="1"/>
    </xf>
    <xf numFmtId="167" fontId="4" fillId="2" borderId="21" xfId="4" applyFont="1" applyFill="1" applyBorder="1" applyAlignment="1" applyProtection="1">
      <alignment horizontal="center" vertical="center"/>
    </xf>
    <xf numFmtId="4" fontId="3" fillId="0" borderId="0" xfId="1" applyNumberFormat="1" applyFont="1" applyBorder="1" applyAlignment="1">
      <alignment horizontal="right" vertical="top"/>
    </xf>
    <xf numFmtId="0" fontId="10" fillId="0" borderId="22" xfId="3" applyFont="1" applyBorder="1" applyAlignment="1">
      <alignment horizontal="center" vertical="center"/>
    </xf>
    <xf numFmtId="0" fontId="10" fillId="0" borderId="23" xfId="3" applyFont="1" applyBorder="1" applyAlignment="1">
      <alignment horizontal="center" vertical="center"/>
    </xf>
    <xf numFmtId="0" fontId="10" fillId="0" borderId="24" xfId="3" applyFont="1" applyBorder="1" applyAlignment="1">
      <alignment vertical="center"/>
    </xf>
    <xf numFmtId="0" fontId="10" fillId="0" borderId="24" xfId="3" applyFont="1" applyBorder="1" applyAlignment="1">
      <alignment horizontal="center" vertical="center"/>
    </xf>
    <xf numFmtId="43" fontId="10" fillId="0" borderId="25" xfId="3" applyNumberFormat="1" applyFont="1" applyBorder="1" applyAlignment="1">
      <alignment vertical="center"/>
    </xf>
    <xf numFmtId="43" fontId="16" fillId="0" borderId="0" xfId="1" applyFont="1" applyBorder="1" applyAlignment="1">
      <alignment horizontal="center" vertical="center"/>
    </xf>
    <xf numFmtId="167" fontId="7" fillId="0" borderId="24" xfId="4" applyFont="1" applyFill="1" applyBorder="1" applyAlignment="1" applyProtection="1">
      <alignment horizontal="center" vertical="center"/>
    </xf>
    <xf numFmtId="0" fontId="8" fillId="0" borderId="24" xfId="3" applyFont="1" applyFill="1" applyBorder="1" applyAlignment="1">
      <alignment vertical="center"/>
    </xf>
    <xf numFmtId="43" fontId="3" fillId="0" borderId="0" xfId="1" applyFont="1" applyBorder="1"/>
    <xf numFmtId="0" fontId="4" fillId="0" borderId="22" xfId="3" applyFont="1" applyBorder="1" applyAlignment="1">
      <alignment horizontal="center" vertical="center"/>
    </xf>
    <xf numFmtId="0" fontId="4" fillId="0" borderId="23" xfId="3" applyFont="1" applyBorder="1" applyAlignment="1">
      <alignment horizontal="center" vertical="center"/>
    </xf>
    <xf numFmtId="168" fontId="4" fillId="0" borderId="25" xfId="3" applyNumberFormat="1" applyFont="1" applyBorder="1" applyAlignment="1">
      <alignment vertical="center"/>
    </xf>
    <xf numFmtId="0" fontId="10" fillId="0" borderId="24" xfId="3" applyFont="1" applyFill="1" applyBorder="1" applyAlignment="1">
      <alignment vertical="center"/>
    </xf>
    <xf numFmtId="0" fontId="4" fillId="0" borderId="24" xfId="3" applyFont="1" applyFill="1" applyBorder="1" applyAlignment="1">
      <alignment horizontal="center" vertical="center"/>
    </xf>
    <xf numFmtId="168" fontId="10" fillId="0" borderId="25" xfId="3" applyNumberFormat="1" applyFont="1" applyBorder="1" applyAlignment="1">
      <alignment vertical="center"/>
    </xf>
    <xf numFmtId="0" fontId="4" fillId="0" borderId="24" xfId="3" applyFont="1" applyFill="1" applyBorder="1" applyAlignment="1">
      <alignment vertical="center"/>
    </xf>
    <xf numFmtId="43" fontId="7" fillId="0" borderId="24" xfId="5" applyFill="1" applyBorder="1" applyAlignment="1">
      <alignment horizontal="center" vertical="center"/>
    </xf>
    <xf numFmtId="43" fontId="8" fillId="0" borderId="24" xfId="5" applyFont="1" applyFill="1" applyBorder="1" applyAlignment="1">
      <alignment horizontal="center" vertical="center"/>
    </xf>
    <xf numFmtId="167" fontId="8" fillId="0" borderId="24" xfId="4" applyFont="1" applyFill="1" applyBorder="1" applyAlignment="1" applyProtection="1">
      <alignment horizontal="center" vertical="center"/>
    </xf>
    <xf numFmtId="4" fontId="7" fillId="0" borderId="24" xfId="5" applyNumberFormat="1" applyFont="1" applyFill="1" applyBorder="1" applyAlignment="1">
      <alignment horizontal="right" vertical="center"/>
    </xf>
    <xf numFmtId="4" fontId="8" fillId="0" borderId="24" xfId="5" applyNumberFormat="1" applyFont="1" applyFill="1" applyBorder="1" applyAlignment="1">
      <alignment horizontal="right" vertical="center"/>
    </xf>
    <xf numFmtId="43" fontId="3" fillId="0" borderId="0" xfId="3" applyNumberFormat="1"/>
    <xf numFmtId="0" fontId="7" fillId="0" borderId="24" xfId="3" applyFont="1" applyFill="1" applyBorder="1" applyAlignment="1">
      <alignment vertical="center"/>
    </xf>
    <xf numFmtId="0" fontId="4" fillId="0" borderId="24" xfId="3" applyFont="1" applyBorder="1" applyAlignment="1">
      <alignment vertical="center"/>
    </xf>
    <xf numFmtId="43" fontId="7" fillId="0" borderId="24" xfId="5" applyFont="1" applyFill="1" applyBorder="1" applyAlignment="1">
      <alignment horizontal="center" vertical="center"/>
    </xf>
    <xf numFmtId="0" fontId="7" fillId="0" borderId="24" xfId="3" applyFont="1" applyFill="1" applyBorder="1" applyAlignment="1">
      <alignment horizontal="center" vertical="center"/>
    </xf>
    <xf numFmtId="0" fontId="4" fillId="8" borderId="26" xfId="3" applyFont="1" applyFill="1" applyBorder="1" applyAlignment="1">
      <alignment horizontal="center" vertical="center"/>
    </xf>
    <xf numFmtId="0" fontId="4" fillId="8" borderId="27" xfId="3" applyFont="1" applyFill="1" applyBorder="1" applyAlignment="1">
      <alignment horizontal="center" vertical="center"/>
    </xf>
    <xf numFmtId="168" fontId="10" fillId="8" borderId="29" xfId="3" applyNumberFormat="1" applyFont="1" applyFill="1" applyBorder="1" applyAlignment="1">
      <alignment vertical="center"/>
    </xf>
    <xf numFmtId="43" fontId="3" fillId="0" borderId="0" xfId="1" applyFont="1"/>
    <xf numFmtId="43" fontId="8" fillId="0" borderId="0" xfId="5" applyNumberFormat="1" applyFont="1"/>
    <xf numFmtId="0" fontId="4" fillId="0" borderId="0" xfId="3" applyFont="1" applyFill="1" applyAlignment="1">
      <alignment vertical="center"/>
    </xf>
    <xf numFmtId="0" fontId="4" fillId="0" borderId="0" xfId="3" applyFont="1" applyFill="1" applyAlignment="1">
      <alignment horizontal="center" vertical="center"/>
    </xf>
    <xf numFmtId="0" fontId="3" fillId="0" borderId="0" xfId="3" applyAlignment="1">
      <alignment horizontal="center"/>
    </xf>
    <xf numFmtId="0" fontId="18" fillId="0" borderId="0" xfId="7" applyFont="1" applyBorder="1" applyAlignment="1">
      <alignment horizontal="center"/>
    </xf>
    <xf numFmtId="0" fontId="19" fillId="0" borderId="0" xfId="7" applyFont="1" applyBorder="1" applyAlignment="1">
      <alignment horizontal="center"/>
    </xf>
    <xf numFmtId="0" fontId="18" fillId="0" borderId="0" xfId="7" applyFont="1" applyBorder="1" applyAlignment="1"/>
    <xf numFmtId="0" fontId="19" fillId="0" borderId="33" xfId="7" applyFont="1" applyBorder="1" applyAlignment="1">
      <alignment horizontal="center"/>
    </xf>
    <xf numFmtId="0" fontId="3" fillId="0" borderId="32" xfId="3" applyBorder="1" applyAlignment="1">
      <alignment horizontal="center"/>
    </xf>
    <xf numFmtId="0" fontId="19" fillId="0" borderId="34" xfId="7" applyFont="1" applyBorder="1" applyAlignment="1">
      <alignment horizontal="center"/>
    </xf>
    <xf numFmtId="0" fontId="19" fillId="0" borderId="35" xfId="7" applyFont="1" applyBorder="1" applyAlignment="1">
      <alignment horizontal="center"/>
    </xf>
    <xf numFmtId="0" fontId="18" fillId="0" borderId="43" xfId="7" applyFont="1" applyBorder="1" applyAlignment="1">
      <alignment vertical="center"/>
    </xf>
    <xf numFmtId="0" fontId="3" fillId="0" borderId="42" xfId="3" applyBorder="1" applyAlignment="1">
      <alignment horizontal="center"/>
    </xf>
    <xf numFmtId="0" fontId="18" fillId="0" borderId="44" xfId="7" applyFont="1" applyBorder="1" applyAlignment="1">
      <alignment horizontal="center"/>
    </xf>
    <xf numFmtId="43" fontId="7" fillId="0" borderId="45" xfId="5" applyBorder="1" applyAlignment="1"/>
    <xf numFmtId="0" fontId="8" fillId="0" borderId="0" xfId="7" applyFont="1" applyAlignment="1">
      <alignment horizontal="center"/>
    </xf>
    <xf numFmtId="0" fontId="22" fillId="0" borderId="37" xfId="3" applyFont="1" applyBorder="1" applyAlignment="1">
      <alignment horizontal="center"/>
    </xf>
    <xf numFmtId="43" fontId="20" fillId="0" borderId="39" xfId="7" applyNumberFormat="1" applyFont="1" applyFill="1" applyBorder="1" applyAlignment="1">
      <alignment horizontal="center"/>
    </xf>
    <xf numFmtId="43" fontId="20" fillId="0" borderId="40" xfId="5" applyFont="1" applyFill="1" applyBorder="1" applyAlignment="1"/>
    <xf numFmtId="43" fontId="20" fillId="0" borderId="39" xfId="5" applyFont="1" applyFill="1" applyBorder="1" applyAlignment="1">
      <alignment horizontal="center"/>
    </xf>
    <xf numFmtId="0" fontId="20" fillId="0" borderId="38" xfId="7" applyFont="1" applyBorder="1" applyAlignment="1">
      <alignment vertical="center"/>
    </xf>
    <xf numFmtId="0" fontId="20" fillId="0" borderId="39" xfId="7" applyFont="1" applyFill="1" applyBorder="1" applyAlignment="1">
      <alignment horizontal="center"/>
    </xf>
    <xf numFmtId="0" fontId="21" fillId="0" borderId="39" xfId="7" applyFont="1" applyFill="1" applyBorder="1" applyAlignment="1">
      <alignment horizontal="center"/>
    </xf>
    <xf numFmtId="43" fontId="21" fillId="0" borderId="40" xfId="5" applyFont="1" applyFill="1" applyBorder="1" applyAlignment="1"/>
    <xf numFmtId="43" fontId="21" fillId="0" borderId="40" xfId="5" applyFont="1" applyFill="1" applyBorder="1" applyAlignment="1">
      <alignment horizontal="center"/>
    </xf>
    <xf numFmtId="0" fontId="20" fillId="0" borderId="38" xfId="7" applyFont="1" applyBorder="1" applyAlignment="1">
      <alignment horizontal="left" vertical="center"/>
    </xf>
    <xf numFmtId="0" fontId="21" fillId="3" borderId="38" xfId="7" applyFont="1" applyFill="1" applyBorder="1" applyAlignment="1">
      <alignment horizontal="left" vertical="center"/>
    </xf>
    <xf numFmtId="0" fontId="22" fillId="3" borderId="37" xfId="3" applyFont="1" applyFill="1" applyBorder="1" applyAlignment="1">
      <alignment horizontal="center"/>
    </xf>
    <xf numFmtId="0" fontId="21" fillId="3" borderId="39" xfId="7" applyFont="1" applyFill="1" applyBorder="1" applyAlignment="1">
      <alignment horizontal="center"/>
    </xf>
    <xf numFmtId="43" fontId="21" fillId="3" borderId="40" xfId="5" applyNumberFormat="1" applyFont="1" applyFill="1" applyBorder="1" applyAlignment="1"/>
    <xf numFmtId="166" fontId="12" fillId="11" borderId="50" xfId="3" applyNumberFormat="1" applyFont="1" applyFill="1" applyBorder="1" applyAlignment="1">
      <alignment horizontal="center" vertical="center"/>
    </xf>
    <xf numFmtId="0" fontId="7" fillId="0" borderId="0" xfId="7" applyFont="1"/>
    <xf numFmtId="0" fontId="19" fillId="0" borderId="0" xfId="7" applyFont="1" applyFill="1" applyBorder="1" applyAlignment="1">
      <alignment horizontal="left"/>
    </xf>
    <xf numFmtId="0" fontId="19" fillId="0" borderId="0" xfId="7" applyFont="1" applyFill="1" applyBorder="1" applyAlignment="1">
      <alignment horizontal="center"/>
    </xf>
    <xf numFmtId="0" fontId="19" fillId="0" borderId="0" xfId="7" applyFont="1" applyFill="1" applyBorder="1" applyAlignment="1">
      <alignment horizontal="right" vertical="center"/>
    </xf>
    <xf numFmtId="0" fontId="23" fillId="12" borderId="51" xfId="7" applyFont="1" applyFill="1" applyBorder="1" applyAlignment="1">
      <alignment horizontal="right" vertical="center"/>
    </xf>
    <xf numFmtId="0" fontId="8" fillId="13" borderId="22" xfId="7" applyFont="1" applyFill="1" applyBorder="1" applyAlignment="1">
      <alignment horizontal="center" vertical="center"/>
    </xf>
    <xf numFmtId="0" fontId="8" fillId="13" borderId="24" xfId="7" applyFont="1" applyFill="1" applyBorder="1" applyAlignment="1">
      <alignment horizontal="center" vertical="center"/>
    </xf>
    <xf numFmtId="2" fontId="8" fillId="13" borderId="25" xfId="7" applyNumberFormat="1" applyFont="1" applyFill="1" applyBorder="1" applyAlignment="1">
      <alignment horizontal="center" vertical="center"/>
    </xf>
    <xf numFmtId="0" fontId="10" fillId="0" borderId="22" xfId="3" applyFont="1" applyFill="1" applyBorder="1" applyAlignment="1">
      <alignment horizontal="center" vertical="center"/>
    </xf>
    <xf numFmtId="167" fontId="10" fillId="0" borderId="24" xfId="4" applyFont="1" applyFill="1" applyBorder="1" applyAlignment="1" applyProtection="1">
      <alignment horizontal="center" vertical="center"/>
    </xf>
    <xf numFmtId="0" fontId="4" fillId="0" borderId="22" xfId="3" applyFont="1" applyFill="1" applyBorder="1" applyAlignment="1">
      <alignment horizontal="center" vertical="center"/>
    </xf>
    <xf numFmtId="2" fontId="7" fillId="0" borderId="0" xfId="7" applyNumberFormat="1" applyFont="1"/>
    <xf numFmtId="167" fontId="4" fillId="0" borderId="24" xfId="4" applyFont="1" applyFill="1" applyBorder="1" applyAlignment="1" applyProtection="1">
      <alignment horizontal="center" vertical="center"/>
    </xf>
    <xf numFmtId="0" fontId="10" fillId="0" borderId="24" xfId="3" applyFont="1" applyFill="1" applyBorder="1" applyAlignment="1">
      <alignment horizontal="center" vertical="center"/>
    </xf>
    <xf numFmtId="10" fontId="7" fillId="0" borderId="24" xfId="6" applyNumberFormat="1" applyFont="1" applyFill="1" applyBorder="1" applyAlignment="1">
      <alignment horizontal="right" vertical="center"/>
    </xf>
    <xf numFmtId="0" fontId="25" fillId="0" borderId="0" xfId="3" applyFont="1"/>
    <xf numFmtId="0" fontId="4" fillId="3" borderId="22" xfId="3" applyFont="1" applyFill="1" applyBorder="1" applyAlignment="1">
      <alignment horizontal="center" vertical="center"/>
    </xf>
    <xf numFmtId="0" fontId="4" fillId="3" borderId="24" xfId="3" applyFont="1" applyFill="1" applyBorder="1" applyAlignment="1">
      <alignment vertical="center"/>
    </xf>
    <xf numFmtId="0" fontId="4" fillId="3" borderId="24" xfId="3" applyFont="1" applyFill="1" applyBorder="1" applyAlignment="1">
      <alignment horizontal="center" vertical="center"/>
    </xf>
    <xf numFmtId="167" fontId="4" fillId="3" borderId="24" xfId="4" applyFont="1" applyFill="1" applyBorder="1" applyAlignment="1" applyProtection="1">
      <alignment horizontal="center" vertical="center"/>
    </xf>
    <xf numFmtId="168" fontId="4" fillId="3" borderId="25" xfId="3" applyNumberFormat="1" applyFont="1" applyFill="1" applyBorder="1" applyAlignment="1">
      <alignment vertical="center"/>
    </xf>
    <xf numFmtId="0" fontId="10" fillId="0" borderId="26" xfId="3" applyFont="1" applyBorder="1" applyAlignment="1">
      <alignment horizontal="center" vertical="center"/>
    </xf>
    <xf numFmtId="0" fontId="10" fillId="0" borderId="28" xfId="3" applyFont="1" applyFill="1" applyBorder="1" applyAlignment="1">
      <alignment vertical="center"/>
    </xf>
    <xf numFmtId="43" fontId="8" fillId="0" borderId="28" xfId="5" applyFont="1" applyFill="1" applyBorder="1" applyAlignment="1">
      <alignment horizontal="center" vertical="center"/>
    </xf>
    <xf numFmtId="167" fontId="10" fillId="0" borderId="28" xfId="4" applyFont="1" applyFill="1" applyBorder="1" applyAlignment="1" applyProtection="1">
      <alignment horizontal="center" vertical="center"/>
    </xf>
    <xf numFmtId="168" fontId="8" fillId="0" borderId="28" xfId="6" applyNumberFormat="1" applyFont="1" applyFill="1" applyBorder="1" applyAlignment="1">
      <alignment horizontal="right" vertical="center"/>
    </xf>
    <xf numFmtId="168" fontId="10" fillId="0" borderId="29" xfId="3" applyNumberFormat="1" applyFont="1" applyBorder="1" applyAlignment="1">
      <alignment vertical="center"/>
    </xf>
    <xf numFmtId="0" fontId="25" fillId="0" borderId="0" xfId="3" applyFont="1" applyFill="1" applyBorder="1"/>
    <xf numFmtId="0" fontId="7" fillId="0" borderId="0" xfId="7" applyFont="1" applyAlignment="1">
      <alignment vertical="center"/>
    </xf>
    <xf numFmtId="0" fontId="7" fillId="0" borderId="0" xfId="7" applyFont="1" applyFill="1" applyBorder="1"/>
    <xf numFmtId="43" fontId="7" fillId="0" borderId="37" xfId="5" applyBorder="1" applyAlignment="1">
      <alignment horizontal="center"/>
    </xf>
    <xf numFmtId="43" fontId="7" fillId="0" borderId="0" xfId="5" applyBorder="1" applyAlignment="1">
      <alignment horizontal="center"/>
    </xf>
    <xf numFmtId="0" fontId="26" fillId="2" borderId="0" xfId="0" applyFont="1" applyFill="1" applyAlignment="1" applyProtection="1">
      <alignment vertical="center"/>
      <protection locked="0"/>
    </xf>
    <xf numFmtId="0" fontId="26" fillId="7" borderId="0" xfId="0" applyFont="1" applyFill="1" applyAlignment="1" applyProtection="1">
      <alignment vertical="center"/>
      <protection locked="0"/>
    </xf>
    <xf numFmtId="0" fontId="26" fillId="2" borderId="0" xfId="0" applyFont="1" applyFill="1" applyProtection="1">
      <protection locked="0"/>
    </xf>
    <xf numFmtId="0" fontId="26" fillId="0" borderId="0" xfId="0" applyFont="1" applyProtection="1">
      <protection locked="0"/>
    </xf>
    <xf numFmtId="0" fontId="3" fillId="0" borderId="0" xfId="3" applyFill="1" applyBorder="1"/>
    <xf numFmtId="0" fontId="15" fillId="0" borderId="0" xfId="3" applyFont="1" applyFill="1" applyBorder="1" applyAlignment="1">
      <alignment horizontal="center" vertical="center"/>
    </xf>
    <xf numFmtId="43" fontId="3" fillId="0" borderId="0" xfId="3" applyNumberFormat="1" applyFill="1" applyBorder="1"/>
    <xf numFmtId="169" fontId="3" fillId="0" borderId="0" xfId="3" applyNumberFormat="1" applyFill="1" applyBorder="1"/>
    <xf numFmtId="0" fontId="15" fillId="0" borderId="0" xfId="3" applyFont="1" applyFill="1" applyBorder="1" applyAlignment="1">
      <alignment horizontal="right"/>
    </xf>
    <xf numFmtId="43" fontId="15" fillId="0" borderId="0" xfId="3" applyNumberFormat="1" applyFont="1" applyFill="1" applyBorder="1" applyAlignment="1">
      <alignment horizontal="right"/>
    </xf>
    <xf numFmtId="0" fontId="7" fillId="0" borderId="0" xfId="7" applyFont="1" applyBorder="1"/>
    <xf numFmtId="0" fontId="26" fillId="7" borderId="0" xfId="0" applyFont="1" applyFill="1" applyProtection="1">
      <protection locked="0"/>
    </xf>
    <xf numFmtId="0" fontId="5" fillId="2" borderId="0" xfId="0" applyFont="1" applyFill="1" applyBorder="1" applyAlignment="1" applyProtection="1">
      <alignment vertical="center"/>
      <protection locked="0"/>
    </xf>
    <xf numFmtId="0" fontId="5" fillId="2" borderId="0" xfId="0" applyFont="1" applyFill="1" applyBorder="1" applyAlignment="1" applyProtection="1">
      <alignment horizontal="center" vertical="center"/>
      <protection locked="0"/>
    </xf>
    <xf numFmtId="0" fontId="10" fillId="0" borderId="24" xfId="3" applyFont="1" applyFill="1" applyBorder="1" applyAlignment="1">
      <alignment horizontal="left" vertical="center"/>
    </xf>
    <xf numFmtId="43" fontId="10" fillId="0" borderId="25" xfId="3" applyNumberFormat="1" applyFont="1" applyFill="1" applyBorder="1" applyAlignment="1">
      <alignment vertical="center"/>
    </xf>
    <xf numFmtId="0" fontId="4" fillId="0" borderId="24" xfId="3" applyFont="1" applyFill="1" applyBorder="1" applyAlignment="1">
      <alignment horizontal="left" vertical="center"/>
    </xf>
    <xf numFmtId="168" fontId="4" fillId="0" borderId="25" xfId="3" applyNumberFormat="1" applyFont="1" applyFill="1" applyBorder="1" applyAlignment="1">
      <alignment vertical="center"/>
    </xf>
    <xf numFmtId="43" fontId="7" fillId="0" borderId="24" xfId="5" applyFont="1" applyFill="1" applyBorder="1" applyAlignment="1">
      <alignment vertical="center"/>
    </xf>
    <xf numFmtId="168" fontId="10" fillId="0" borderId="25" xfId="3" applyNumberFormat="1" applyFont="1" applyFill="1" applyBorder="1" applyAlignment="1">
      <alignment vertical="center"/>
    </xf>
    <xf numFmtId="4" fontId="7" fillId="0" borderId="24" xfId="4" applyNumberFormat="1" applyFont="1" applyFill="1" applyBorder="1" applyAlignment="1" applyProtection="1">
      <alignment horizontal="right" vertical="center"/>
    </xf>
    <xf numFmtId="0" fontId="17" fillId="0" borderId="24" xfId="3" applyFont="1" applyFill="1" applyBorder="1" applyAlignment="1">
      <alignment vertical="center"/>
    </xf>
    <xf numFmtId="43" fontId="20" fillId="0" borderId="38" xfId="7" applyNumberFormat="1" applyFont="1" applyFill="1" applyBorder="1" applyAlignment="1">
      <alignment vertical="center"/>
    </xf>
    <xf numFmtId="0" fontId="22" fillId="0" borderId="37" xfId="3" applyFont="1" applyFill="1" applyBorder="1" applyAlignment="1">
      <alignment horizontal="center"/>
    </xf>
    <xf numFmtId="167" fontId="4" fillId="0" borderId="24" xfId="4" applyNumberFormat="1" applyFont="1" applyFill="1" applyBorder="1" applyAlignment="1" applyProtection="1">
      <alignment horizontal="center" vertical="center"/>
    </xf>
    <xf numFmtId="168" fontId="7" fillId="0" borderId="25" xfId="3" applyNumberFormat="1" applyFont="1" applyFill="1" applyBorder="1" applyAlignment="1">
      <alignment vertical="center"/>
    </xf>
    <xf numFmtId="43" fontId="8" fillId="0" borderId="62" xfId="5" applyFont="1" applyFill="1" applyBorder="1" applyAlignment="1">
      <alignment horizontal="center" vertical="center"/>
    </xf>
    <xf numFmtId="43" fontId="8" fillId="0" borderId="63" xfId="5" applyNumberFormat="1" applyFont="1" applyFill="1" applyBorder="1" applyAlignment="1">
      <alignment vertical="center"/>
    </xf>
    <xf numFmtId="0" fontId="23" fillId="0" borderId="0" xfId="7" applyFont="1" applyFill="1" applyBorder="1" applyAlignment="1">
      <alignment vertical="center"/>
    </xf>
    <xf numFmtId="43" fontId="8" fillId="0" borderId="39" xfId="5" applyFont="1" applyBorder="1" applyAlignment="1">
      <alignment horizontal="center"/>
    </xf>
    <xf numFmtId="4" fontId="7" fillId="0" borderId="24" xfId="5" applyNumberFormat="1" applyFont="1" applyFill="1" applyBorder="1" applyAlignment="1">
      <alignment horizontal="center" vertical="center"/>
    </xf>
    <xf numFmtId="10" fontId="7" fillId="0" borderId="24" xfId="6" applyNumberFormat="1" applyFont="1" applyFill="1" applyBorder="1" applyAlignment="1">
      <alignment horizontal="center" vertical="center"/>
    </xf>
    <xf numFmtId="4" fontId="7" fillId="3" borderId="24" xfId="5" applyNumberFormat="1" applyFont="1" applyFill="1" applyBorder="1" applyAlignment="1">
      <alignment horizontal="center" vertical="center"/>
    </xf>
    <xf numFmtId="165" fontId="26" fillId="7" borderId="0" xfId="0" applyNumberFormat="1" applyFont="1" applyFill="1" applyAlignment="1" applyProtection="1">
      <alignment vertical="center"/>
      <protection locked="0"/>
    </xf>
    <xf numFmtId="0" fontId="0" fillId="0" borderId="0" xfId="0" applyAlignment="1">
      <alignment vertical="center" wrapText="1"/>
    </xf>
    <xf numFmtId="43" fontId="20" fillId="0" borderId="38" xfId="7" applyNumberFormat="1" applyFont="1" applyFill="1" applyBorder="1" applyAlignment="1">
      <alignment vertical="center" wrapText="1"/>
    </xf>
    <xf numFmtId="0" fontId="8" fillId="13" borderId="24" xfId="7" applyFont="1" applyFill="1" applyBorder="1" applyAlignment="1">
      <alignment horizontal="center" vertical="center" wrapText="1"/>
    </xf>
    <xf numFmtId="43" fontId="20" fillId="0" borderId="38" xfId="5" applyFont="1" applyBorder="1" applyAlignment="1">
      <alignment vertical="center" wrapText="1"/>
    </xf>
    <xf numFmtId="43" fontId="7" fillId="0" borderId="38" xfId="5" applyFill="1" applyBorder="1" applyAlignment="1">
      <alignment horizontal="center" vertical="center"/>
    </xf>
    <xf numFmtId="43" fontId="7" fillId="0" borderId="39" xfId="5" applyFill="1" applyBorder="1" applyAlignment="1">
      <alignment horizontal="center" vertical="center"/>
    </xf>
    <xf numFmtId="43" fontId="7" fillId="0" borderId="40" xfId="5" applyFill="1" applyBorder="1" applyAlignment="1">
      <alignment vertical="center"/>
    </xf>
    <xf numFmtId="43" fontId="7" fillId="0" borderId="0" xfId="5" applyFill="1" applyBorder="1" applyAlignment="1">
      <alignment horizontal="center" vertical="center"/>
    </xf>
    <xf numFmtId="0" fontId="30" fillId="0" borderId="2" xfId="7" applyFont="1" applyBorder="1" applyAlignment="1">
      <alignment horizontal="center" vertical="center" wrapText="1"/>
    </xf>
    <xf numFmtId="0" fontId="30" fillId="0" borderId="2" xfId="7" applyFont="1" applyBorder="1" applyAlignment="1">
      <alignment horizontal="center" vertical="center"/>
    </xf>
    <xf numFmtId="2" fontId="30" fillId="0" borderId="2" xfId="7" applyNumberFormat="1" applyFont="1" applyBorder="1" applyAlignment="1">
      <alignment horizontal="center" vertical="center"/>
    </xf>
    <xf numFmtId="1" fontId="30" fillId="0" borderId="2" xfId="7" applyNumberFormat="1" applyFont="1" applyBorder="1" applyAlignment="1">
      <alignment horizontal="center" vertical="center"/>
    </xf>
    <xf numFmtId="0" fontId="26" fillId="2" borderId="0" xfId="0" applyFont="1" applyFill="1" applyBorder="1" applyProtection="1">
      <protection locked="0"/>
    </xf>
    <xf numFmtId="0" fontId="6" fillId="0" borderId="0" xfId="0" applyFont="1" applyBorder="1" applyProtection="1">
      <protection locked="0"/>
    </xf>
    <xf numFmtId="0" fontId="6" fillId="0" borderId="0" xfId="0" applyFont="1" applyBorder="1" applyAlignment="1" applyProtection="1">
      <alignment horizontal="center"/>
      <protection locked="0"/>
    </xf>
    <xf numFmtId="0" fontId="26" fillId="7" borderId="0" xfId="0" applyFont="1" applyFill="1" applyBorder="1" applyProtection="1">
      <protection locked="0"/>
    </xf>
    <xf numFmtId="0" fontId="26" fillId="0" borderId="0" xfId="0" applyFont="1" applyBorder="1" applyProtection="1">
      <protection locked="0"/>
    </xf>
    <xf numFmtId="43" fontId="7" fillId="0" borderId="54" xfId="5" applyBorder="1" applyAlignment="1">
      <alignment horizontal="center" vertical="center"/>
    </xf>
    <xf numFmtId="0" fontId="2" fillId="4" borderId="64" xfId="0" applyFont="1" applyFill="1" applyBorder="1" applyAlignment="1">
      <alignment horizontal="center" vertical="center"/>
    </xf>
    <xf numFmtId="0" fontId="2" fillId="4" borderId="64" xfId="0" applyFont="1" applyFill="1" applyBorder="1" applyAlignment="1">
      <alignment horizontal="center" vertical="center" wrapText="1"/>
    </xf>
    <xf numFmtId="0" fontId="31" fillId="4" borderId="64" xfId="0" applyFont="1" applyFill="1" applyBorder="1" applyAlignment="1">
      <alignment horizontal="center" vertical="center" wrapText="1"/>
    </xf>
    <xf numFmtId="0" fontId="0" fillId="4" borderId="64" xfId="0" applyFill="1" applyBorder="1"/>
    <xf numFmtId="0" fontId="2" fillId="0" borderId="64" xfId="0" applyFont="1" applyBorder="1" applyAlignment="1">
      <alignment horizontal="center" vertical="center" wrapText="1"/>
    </xf>
    <xf numFmtId="0" fontId="0" fillId="17" borderId="64" xfId="0" applyFill="1" applyBorder="1" applyAlignment="1">
      <alignment horizontal="center" vertical="center"/>
    </xf>
    <xf numFmtId="0" fontId="0" fillId="0" borderId="64" xfId="0" applyBorder="1"/>
    <xf numFmtId="0" fontId="0" fillId="0" borderId="64" xfId="0" applyBorder="1" applyAlignment="1">
      <alignment horizontal="center" vertical="center"/>
    </xf>
    <xf numFmtId="0" fontId="0" fillId="4" borderId="64" xfId="0" applyFill="1" applyBorder="1" applyAlignment="1">
      <alignment horizontal="center"/>
    </xf>
    <xf numFmtId="0" fontId="0" fillId="0" borderId="64" xfId="0" applyBorder="1" applyAlignment="1">
      <alignment horizontal="center"/>
    </xf>
    <xf numFmtId="0" fontId="0" fillId="0" borderId="64" xfId="0" applyBorder="1" applyAlignment="1">
      <alignment horizontal="center"/>
    </xf>
    <xf numFmtId="0" fontId="2" fillId="0" borderId="64" xfId="0" applyFont="1" applyBorder="1" applyAlignment="1">
      <alignment horizontal="center" vertical="center"/>
    </xf>
    <xf numFmtId="0" fontId="2" fillId="0" borderId="64" xfId="0" applyFont="1" applyBorder="1" applyAlignment="1">
      <alignment horizontal="left"/>
    </xf>
    <xf numFmtId="0" fontId="2" fillId="0" borderId="0" xfId="0" applyFont="1" applyAlignment="1">
      <alignment horizontal="left"/>
    </xf>
    <xf numFmtId="2" fontId="0" fillId="0" borderId="0" xfId="0" applyNumberFormat="1"/>
    <xf numFmtId="0" fontId="0" fillId="3" borderId="0" xfId="0" applyFill="1"/>
    <xf numFmtId="2" fontId="0" fillId="3" borderId="0" xfId="0" applyNumberFormat="1" applyFill="1"/>
    <xf numFmtId="0" fontId="0" fillId="0" borderId="64" xfId="0" applyBorder="1" applyAlignment="1">
      <alignment horizontal="center"/>
    </xf>
    <xf numFmtId="2" fontId="2" fillId="0" borderId="0" xfId="0" applyNumberFormat="1" applyFont="1" applyAlignment="1">
      <alignment horizontal="left"/>
    </xf>
    <xf numFmtId="2" fontId="0" fillId="0" borderId="64" xfId="0" applyNumberFormat="1" applyBorder="1"/>
    <xf numFmtId="2" fontId="0" fillId="3" borderId="64" xfId="0" applyNumberFormat="1" applyFill="1" applyBorder="1"/>
    <xf numFmtId="0" fontId="27" fillId="14" borderId="64" xfId="0" applyFont="1" applyFill="1" applyBorder="1" applyAlignment="1">
      <alignment horizontal="center" vertical="center"/>
    </xf>
    <xf numFmtId="0" fontId="27" fillId="14" borderId="64" xfId="0" applyFont="1" applyFill="1" applyBorder="1" applyAlignment="1">
      <alignment horizontal="center" vertical="center" wrapText="1"/>
    </xf>
    <xf numFmtId="0" fontId="27" fillId="15" borderId="64" xfId="0" applyFont="1" applyFill="1" applyBorder="1" applyAlignment="1">
      <alignment horizontal="center" vertical="center"/>
    </xf>
    <xf numFmtId="0" fontId="28" fillId="15" borderId="64" xfId="0" applyFont="1" applyFill="1" applyBorder="1" applyAlignment="1">
      <alignment horizontal="center" vertical="center"/>
    </xf>
    <xf numFmtId="0" fontId="28" fillId="15" borderId="64" xfId="0" applyFont="1" applyFill="1" applyBorder="1" applyAlignment="1">
      <alignment horizontal="center" vertical="center" wrapText="1"/>
    </xf>
    <xf numFmtId="0" fontId="28" fillId="16" borderId="64" xfId="0" applyFont="1" applyFill="1" applyBorder="1" applyAlignment="1">
      <alignment horizontal="center" vertical="center"/>
    </xf>
    <xf numFmtId="0" fontId="28" fillId="16" borderId="64" xfId="0" applyFont="1" applyFill="1" applyBorder="1" applyAlignment="1">
      <alignment vertical="center"/>
    </xf>
    <xf numFmtId="0" fontId="28" fillId="16" borderId="64" xfId="0" applyFont="1" applyFill="1" applyBorder="1" applyAlignment="1">
      <alignment horizontal="center" vertical="center" wrapText="1"/>
    </xf>
    <xf numFmtId="0" fontId="28" fillId="0" borderId="64" xfId="0" applyFont="1" applyBorder="1" applyAlignment="1">
      <alignment horizontal="center" vertical="center"/>
    </xf>
    <xf numFmtId="0" fontId="28" fillId="0" borderId="64" xfId="0" applyFont="1" applyBorder="1" applyAlignment="1">
      <alignment vertical="center"/>
    </xf>
    <xf numFmtId="0" fontId="28" fillId="0" borderId="64" xfId="0" applyFont="1" applyBorder="1" applyAlignment="1">
      <alignment horizontal="center" vertical="center" wrapText="1"/>
    </xf>
    <xf numFmtId="0" fontId="24" fillId="0" borderId="64" xfId="7" applyFont="1" applyBorder="1" applyAlignment="1">
      <alignment horizontal="center" vertical="center" wrapText="1"/>
    </xf>
    <xf numFmtId="0" fontId="24" fillId="0" borderId="64" xfId="7" applyFont="1" applyBorder="1" applyAlignment="1">
      <alignment horizontal="center" vertical="center"/>
    </xf>
    <xf numFmtId="2" fontId="24" fillId="0" borderId="64" xfId="7" applyNumberFormat="1" applyFont="1" applyBorder="1" applyAlignment="1">
      <alignment horizontal="center" vertical="center"/>
    </xf>
    <xf numFmtId="0" fontId="2" fillId="0" borderId="64" xfId="0" applyFont="1" applyBorder="1" applyAlignment="1">
      <alignment horizontal="left" vertical="center"/>
    </xf>
    <xf numFmtId="2" fontId="0" fillId="0" borderId="64" xfId="0" applyNumberFormat="1" applyBorder="1" applyAlignment="1">
      <alignment vertical="center"/>
    </xf>
    <xf numFmtId="2" fontId="0" fillId="3" borderId="64" xfId="0" applyNumberFormat="1" applyFill="1" applyBorder="1" applyAlignment="1">
      <alignment vertical="center"/>
    </xf>
    <xf numFmtId="2" fontId="0" fillId="3" borderId="0" xfId="0" applyNumberFormat="1" applyFill="1" applyBorder="1"/>
    <xf numFmtId="0" fontId="0" fillId="0" borderId="67" xfId="0" applyBorder="1"/>
    <xf numFmtId="4" fontId="0" fillId="0" borderId="0" xfId="0" applyNumberFormat="1"/>
    <xf numFmtId="4" fontId="0" fillId="0" borderId="64" xfId="0" applyNumberFormat="1" applyBorder="1"/>
    <xf numFmtId="0" fontId="2" fillId="0" borderId="0" xfId="0" applyFont="1"/>
    <xf numFmtId="0" fontId="29" fillId="0" borderId="0" xfId="9"/>
    <xf numFmtId="0" fontId="2" fillId="0" borderId="0" xfId="0" applyFont="1" applyAlignment="1">
      <alignment wrapText="1"/>
    </xf>
    <xf numFmtId="2" fontId="2" fillId="19" borderId="64" xfId="0" applyNumberFormat="1" applyFont="1" applyFill="1" applyBorder="1"/>
    <xf numFmtId="2" fontId="2" fillId="0" borderId="64" xfId="0" applyNumberFormat="1" applyFont="1" applyBorder="1"/>
    <xf numFmtId="0" fontId="2" fillId="20" borderId="64" xfId="0" applyFont="1" applyFill="1" applyBorder="1"/>
    <xf numFmtId="0" fontId="2" fillId="4" borderId="64" xfId="0" applyFont="1" applyFill="1" applyBorder="1"/>
    <xf numFmtId="4" fontId="0" fillId="0" borderId="71" xfId="0" applyNumberFormat="1" applyBorder="1"/>
    <xf numFmtId="43" fontId="7" fillId="0" borderId="24" xfId="12" applyFont="1" applyFill="1" applyBorder="1" applyAlignment="1">
      <alignment horizontal="center" vertical="center"/>
    </xf>
    <xf numFmtId="167" fontId="4" fillId="0" borderId="24" xfId="4" applyFont="1" applyFill="1" applyBorder="1" applyAlignment="1" applyProtection="1">
      <alignment horizontal="center" vertical="center"/>
    </xf>
    <xf numFmtId="10" fontId="7" fillId="0" borderId="24" xfId="6" applyNumberFormat="1" applyFont="1" applyFill="1" applyBorder="1" applyAlignment="1">
      <alignment horizontal="right" vertical="center"/>
    </xf>
    <xf numFmtId="168" fontId="8" fillId="0" borderId="28" xfId="6" applyNumberFormat="1" applyFont="1" applyFill="1" applyBorder="1" applyAlignment="1">
      <alignment horizontal="right" vertical="center"/>
    </xf>
    <xf numFmtId="0" fontId="7" fillId="0" borderId="0" xfId="7" applyFont="1" applyAlignment="1">
      <alignment vertical="center"/>
    </xf>
    <xf numFmtId="10" fontId="7" fillId="0" borderId="24" xfId="6" applyNumberFormat="1" applyFont="1" applyFill="1" applyBorder="1" applyAlignment="1">
      <alignment horizontal="center" vertical="center"/>
    </xf>
    <xf numFmtId="0" fontId="0" fillId="0" borderId="0" xfId="0"/>
    <xf numFmtId="0" fontId="0" fillId="2" borderId="0" xfId="0" applyFill="1"/>
    <xf numFmtId="0" fontId="6" fillId="2" borderId="0" xfId="0" applyFont="1" applyFill="1" applyProtection="1">
      <protection locked="0"/>
    </xf>
    <xf numFmtId="0" fontId="6" fillId="0" borderId="0" xfId="0" applyFont="1" applyProtection="1">
      <protection locked="0"/>
    </xf>
    <xf numFmtId="0" fontId="3" fillId="0" borderId="0" xfId="3"/>
    <xf numFmtId="0" fontId="3" fillId="0" borderId="0" xfId="3" applyBorder="1"/>
    <xf numFmtId="0" fontId="10" fillId="0" borderId="23" xfId="3" applyFont="1" applyBorder="1" applyAlignment="1">
      <alignment horizontal="center" vertical="center"/>
    </xf>
    <xf numFmtId="167" fontId="7" fillId="0" borderId="24" xfId="4" applyFont="1" applyFill="1" applyBorder="1" applyAlignment="1" applyProtection="1">
      <alignment horizontal="center" vertical="center"/>
    </xf>
    <xf numFmtId="0" fontId="4" fillId="0" borderId="22" xfId="3" applyFont="1" applyBorder="1" applyAlignment="1">
      <alignment horizontal="center" vertical="center"/>
    </xf>
    <xf numFmtId="0" fontId="4" fillId="0" borderId="23" xfId="3" applyFont="1" applyBorder="1" applyAlignment="1">
      <alignment horizontal="center" vertical="center"/>
    </xf>
    <xf numFmtId="168" fontId="4" fillId="0" borderId="25" xfId="3" applyNumberFormat="1" applyFont="1" applyBorder="1" applyAlignment="1">
      <alignment vertical="center"/>
    </xf>
    <xf numFmtId="0" fontId="10" fillId="0" borderId="24" xfId="3" applyFont="1" applyFill="1" applyBorder="1" applyAlignment="1">
      <alignment vertical="center"/>
    </xf>
    <xf numFmtId="168" fontId="10" fillId="0" borderId="25" xfId="3" applyNumberFormat="1" applyFont="1" applyBorder="1" applyAlignment="1">
      <alignment vertical="center"/>
    </xf>
    <xf numFmtId="0" fontId="4" fillId="0" borderId="24" xfId="3" applyFont="1" applyFill="1" applyBorder="1" applyAlignment="1">
      <alignment vertical="center"/>
    </xf>
    <xf numFmtId="43" fontId="7" fillId="0" borderId="24" xfId="12" applyFont="1" applyFill="1" applyBorder="1" applyAlignment="1">
      <alignment horizontal="center" vertical="center"/>
    </xf>
    <xf numFmtId="0" fontId="7" fillId="0" borderId="24" xfId="3" applyFont="1" applyFill="1" applyBorder="1" applyAlignment="1">
      <alignment horizontal="center" vertical="center"/>
    </xf>
    <xf numFmtId="0" fontId="10" fillId="0" borderId="22" xfId="3" applyFont="1" applyFill="1" applyBorder="1" applyAlignment="1">
      <alignment horizontal="center" vertical="center"/>
    </xf>
    <xf numFmtId="167" fontId="10" fillId="0" borderId="24" xfId="4" applyFont="1" applyFill="1" applyBorder="1" applyAlignment="1" applyProtection="1">
      <alignment horizontal="center" vertical="center"/>
    </xf>
    <xf numFmtId="167" fontId="4" fillId="0" borderId="24" xfId="4" applyFont="1" applyFill="1" applyBorder="1" applyAlignment="1" applyProtection="1">
      <alignment horizontal="center" vertical="center"/>
    </xf>
    <xf numFmtId="0" fontId="10" fillId="0" borderId="24" xfId="3" applyFont="1" applyFill="1" applyBorder="1" applyAlignment="1">
      <alignment horizontal="center" vertical="center"/>
    </xf>
    <xf numFmtId="10" fontId="7" fillId="0" borderId="24" xfId="6" applyNumberFormat="1" applyFont="1" applyFill="1" applyBorder="1" applyAlignment="1">
      <alignment horizontal="right" vertical="center"/>
    </xf>
    <xf numFmtId="0" fontId="10" fillId="0" borderId="28" xfId="3" applyFont="1" applyFill="1" applyBorder="1" applyAlignment="1">
      <alignment vertical="center"/>
    </xf>
    <xf numFmtId="0" fontId="5" fillId="2" borderId="0" xfId="0" applyFont="1" applyFill="1" applyBorder="1" applyAlignment="1" applyProtection="1">
      <alignment vertical="center"/>
      <protection locked="0"/>
    </xf>
    <xf numFmtId="168" fontId="4" fillId="0" borderId="25" xfId="3" applyNumberFormat="1" applyFont="1" applyFill="1" applyBorder="1" applyAlignment="1">
      <alignment vertical="center"/>
    </xf>
    <xf numFmtId="168" fontId="10" fillId="0" borderId="25" xfId="3" applyNumberFormat="1" applyFont="1" applyFill="1" applyBorder="1" applyAlignment="1">
      <alignment vertical="center"/>
    </xf>
    <xf numFmtId="167" fontId="4" fillId="0" borderId="24" xfId="4" applyNumberFormat="1" applyFont="1" applyFill="1" applyBorder="1" applyAlignment="1" applyProtection="1">
      <alignment horizontal="center" vertical="center"/>
    </xf>
    <xf numFmtId="10" fontId="7" fillId="0" borderId="24" xfId="6" applyNumberFormat="1" applyFont="1" applyFill="1" applyBorder="1" applyAlignment="1">
      <alignment horizontal="center" vertical="center"/>
    </xf>
    <xf numFmtId="0" fontId="6" fillId="0" borderId="0" xfId="0" applyFont="1" applyBorder="1" applyProtection="1">
      <protection locked="0"/>
    </xf>
    <xf numFmtId="4" fontId="0" fillId="0" borderId="0" xfId="0" applyNumberFormat="1"/>
    <xf numFmtId="0" fontId="2" fillId="0" borderId="0" xfId="0" applyFont="1"/>
    <xf numFmtId="43" fontId="1" fillId="0" borderId="71" xfId="1" applyFont="1" applyBorder="1" applyAlignment="1">
      <alignment horizontal="left" vertical="center"/>
    </xf>
    <xf numFmtId="0" fontId="4" fillId="0" borderId="24" xfId="3" applyFont="1" applyFill="1" applyBorder="1" applyAlignment="1">
      <alignment vertical="center" wrapText="1"/>
    </xf>
    <xf numFmtId="43" fontId="7" fillId="0" borderId="24" xfId="2" applyNumberFormat="1" applyFont="1" applyFill="1" applyBorder="1" applyAlignment="1">
      <alignment horizontal="right" vertical="center"/>
    </xf>
    <xf numFmtId="43" fontId="3" fillId="0" borderId="0" xfId="1" applyFont="1" applyFill="1" applyBorder="1"/>
    <xf numFmtId="43" fontId="20" fillId="0" borderId="39" xfId="7" applyNumberFormat="1" applyFont="1" applyFill="1" applyBorder="1" applyAlignment="1">
      <alignment horizontal="center" vertical="center"/>
    </xf>
    <xf numFmtId="43" fontId="20" fillId="0" borderId="39" xfId="5" applyFont="1" applyFill="1" applyBorder="1" applyAlignment="1">
      <alignment horizontal="center" vertical="center"/>
    </xf>
    <xf numFmtId="43" fontId="20" fillId="0" borderId="40" xfId="5" applyFont="1" applyFill="1" applyBorder="1" applyAlignment="1">
      <alignment vertical="center"/>
    </xf>
    <xf numFmtId="0" fontId="0" fillId="2" borderId="71" xfId="0" applyFill="1" applyBorder="1" applyAlignment="1">
      <alignment vertical="center"/>
    </xf>
    <xf numFmtId="0" fontId="0" fillId="0" borderId="71" xfId="0" applyBorder="1" applyAlignment="1">
      <alignment vertical="center"/>
    </xf>
    <xf numFmtId="0" fontId="0" fillId="0" borderId="71" xfId="0" applyBorder="1" applyAlignment="1">
      <alignment vertical="center" wrapText="1"/>
    </xf>
    <xf numFmtId="0" fontId="0" fillId="0" borderId="71" xfId="0" applyFill="1" applyBorder="1" applyAlignment="1">
      <alignment vertical="center"/>
    </xf>
    <xf numFmtId="43" fontId="0" fillId="0" borderId="71" xfId="1" applyFont="1" applyBorder="1" applyAlignment="1">
      <alignment vertical="center"/>
    </xf>
    <xf numFmtId="0" fontId="0" fillId="0" borderId="0" xfId="0" applyFill="1" applyBorder="1"/>
    <xf numFmtId="17" fontId="0" fillId="0" borderId="0" xfId="0" applyNumberFormat="1" applyFill="1" applyBorder="1"/>
    <xf numFmtId="10" fontId="0" fillId="0" borderId="0" xfId="2" applyNumberFormat="1" applyFont="1"/>
    <xf numFmtId="164" fontId="0" fillId="0" borderId="0" xfId="10" applyFont="1"/>
    <xf numFmtId="43" fontId="7" fillId="0" borderId="71" xfId="5" applyBorder="1" applyAlignment="1">
      <alignment horizontal="center" vertical="center"/>
    </xf>
    <xf numFmtId="43" fontId="20" fillId="0" borderId="71" xfId="5" applyFont="1" applyBorder="1" applyAlignment="1">
      <alignment vertical="center" wrapText="1"/>
    </xf>
    <xf numFmtId="43" fontId="7" fillId="0" borderId="71" xfId="5" applyFill="1" applyBorder="1" applyAlignment="1">
      <alignment vertical="center"/>
    </xf>
    <xf numFmtId="43" fontId="8" fillId="0" borderId="71" xfId="5" applyFont="1" applyFill="1" applyBorder="1" applyAlignment="1">
      <alignment horizontal="center" vertical="center"/>
    </xf>
    <xf numFmtId="43" fontId="8" fillId="18" borderId="71" xfId="5" applyNumberFormat="1" applyFont="1" applyFill="1" applyBorder="1" applyAlignment="1">
      <alignment vertical="center"/>
    </xf>
    <xf numFmtId="0" fontId="4" fillId="0" borderId="0" xfId="3" applyFont="1" applyAlignment="1">
      <alignment vertical="center"/>
    </xf>
    <xf numFmtId="0" fontId="2" fillId="0" borderId="0" xfId="0" applyFont="1" applyAlignment="1">
      <alignment horizontal="center"/>
    </xf>
    <xf numFmtId="0" fontId="2" fillId="0" borderId="74" xfId="0" applyFont="1" applyBorder="1" applyAlignment="1">
      <alignment horizontal="left"/>
    </xf>
    <xf numFmtId="2" fontId="0" fillId="0" borderId="0" xfId="0" applyNumberFormat="1" applyFill="1" applyBorder="1"/>
    <xf numFmtId="43" fontId="7" fillId="0" borderId="0" xfId="7" applyNumberFormat="1" applyFont="1"/>
    <xf numFmtId="0" fontId="19" fillId="9" borderId="0" xfId="7" applyFont="1" applyFill="1" applyBorder="1" applyAlignment="1">
      <alignment horizontal="center" vertical="center"/>
    </xf>
    <xf numFmtId="0" fontId="19" fillId="10" borderId="0" xfId="7" applyFont="1" applyFill="1" applyBorder="1" applyAlignment="1">
      <alignment horizontal="left" vertical="center" wrapText="1"/>
    </xf>
    <xf numFmtId="166" fontId="12" fillId="11" borderId="0" xfId="3" applyNumberFormat="1" applyFont="1" applyFill="1" applyBorder="1" applyAlignment="1">
      <alignment horizontal="center" vertical="center"/>
    </xf>
    <xf numFmtId="0" fontId="19" fillId="9" borderId="0" xfId="7" applyFont="1" applyFill="1" applyBorder="1" applyAlignment="1">
      <alignment horizontal="left" vertical="center"/>
    </xf>
    <xf numFmtId="0" fontId="10" fillId="0" borderId="0" xfId="3" applyFont="1" applyBorder="1" applyAlignment="1">
      <alignment horizontal="center" vertical="center"/>
    </xf>
    <xf numFmtId="0" fontId="10" fillId="0" borderId="0" xfId="3" applyFont="1" applyFill="1" applyBorder="1" applyAlignment="1">
      <alignment vertical="center"/>
    </xf>
    <xf numFmtId="43" fontId="8" fillId="0" borderId="0" xfId="5" applyFont="1" applyFill="1" applyBorder="1" applyAlignment="1">
      <alignment horizontal="center" vertical="center"/>
    </xf>
    <xf numFmtId="167" fontId="10" fillId="0" borderId="0" xfId="4" applyFont="1" applyFill="1" applyBorder="1" applyAlignment="1" applyProtection="1">
      <alignment horizontal="center" vertical="center"/>
    </xf>
    <xf numFmtId="168" fontId="8" fillId="0" borderId="0" xfId="6" applyNumberFormat="1" applyFont="1" applyFill="1" applyBorder="1" applyAlignment="1">
      <alignment horizontal="right" vertical="center"/>
    </xf>
    <xf numFmtId="168" fontId="10" fillId="0" borderId="0" xfId="3" applyNumberFormat="1" applyFont="1" applyBorder="1" applyAlignment="1">
      <alignment vertical="center"/>
    </xf>
    <xf numFmtId="0" fontId="23" fillId="12" borderId="51" xfId="7" applyFont="1" applyFill="1" applyBorder="1" applyAlignment="1">
      <alignment horizontal="center" vertical="center"/>
    </xf>
    <xf numFmtId="0" fontId="23" fillId="12" borderId="51" xfId="7" applyFont="1" applyFill="1" applyBorder="1" applyAlignment="1">
      <alignment horizontal="left" vertical="center" wrapText="1"/>
    </xf>
    <xf numFmtId="0" fontId="7" fillId="0" borderId="0" xfId="7" applyFont="1" applyAlignment="1">
      <alignment horizontal="left"/>
    </xf>
    <xf numFmtId="43" fontId="6" fillId="2" borderId="0" xfId="0" applyNumberFormat="1" applyFont="1" applyFill="1" applyAlignment="1" applyProtection="1">
      <alignment horizontal="center"/>
      <protection locked="0"/>
    </xf>
    <xf numFmtId="0" fontId="7" fillId="0" borderId="71" xfId="1" applyNumberFormat="1" applyFont="1" applyFill="1" applyBorder="1" applyAlignment="1">
      <alignment horizontal="center" vertical="center"/>
    </xf>
    <xf numFmtId="0" fontId="37" fillId="0" borderId="22" xfId="3" applyFont="1" applyFill="1" applyBorder="1" applyAlignment="1">
      <alignment horizontal="center" vertical="center"/>
    </xf>
    <xf numFmtId="0" fontId="38" fillId="2" borderId="0" xfId="0" applyFont="1" applyFill="1" applyAlignment="1" applyProtection="1">
      <alignment horizontal="left"/>
      <protection locked="0"/>
    </xf>
    <xf numFmtId="0" fontId="39" fillId="2" borderId="0" xfId="0" applyFont="1" applyFill="1" applyAlignment="1" applyProtection="1">
      <alignment horizontal="centerContinuous"/>
      <protection locked="0"/>
    </xf>
    <xf numFmtId="0" fontId="39" fillId="2" borderId="74" xfId="0" applyFont="1" applyFill="1" applyBorder="1" applyAlignment="1" applyProtection="1">
      <alignment horizontal="left" wrapText="1"/>
      <protection locked="0"/>
    </xf>
    <xf numFmtId="0" fontId="26" fillId="4" borderId="74" xfId="0" applyFont="1" applyFill="1" applyBorder="1" applyAlignment="1" applyProtection="1">
      <alignment horizontal="center"/>
      <protection locked="0"/>
    </xf>
    <xf numFmtId="0" fontId="39" fillId="4" borderId="74" xfId="0" applyFont="1" applyFill="1" applyBorder="1" applyAlignment="1" applyProtection="1">
      <alignment horizontal="center"/>
      <protection locked="0"/>
    </xf>
    <xf numFmtId="0" fontId="39" fillId="2" borderId="74" xfId="0" applyFont="1" applyFill="1" applyBorder="1" applyAlignment="1" applyProtection="1">
      <alignment horizontal="center" vertical="center"/>
      <protection locked="0"/>
    </xf>
    <xf numFmtId="0" fontId="40" fillId="2" borderId="0" xfId="0" applyFont="1" applyFill="1" applyAlignment="1" applyProtection="1">
      <alignment horizontal="center"/>
      <protection locked="0"/>
    </xf>
    <xf numFmtId="43" fontId="39" fillId="2" borderId="74" xfId="1" applyFont="1" applyFill="1" applyBorder="1" applyAlignment="1" applyProtection="1">
      <alignment vertical="center"/>
      <protection locked="0"/>
    </xf>
    <xf numFmtId="43" fontId="36" fillId="4" borderId="74" xfId="0" applyNumberFormat="1" applyFont="1" applyFill="1" applyBorder="1" applyAlignment="1" applyProtection="1">
      <alignment vertical="center"/>
      <protection locked="0"/>
    </xf>
    <xf numFmtId="0" fontId="39" fillId="2" borderId="74" xfId="0" applyFont="1" applyFill="1" applyBorder="1" applyAlignment="1" applyProtection="1">
      <alignment horizontal="left" vertical="center" wrapText="1"/>
      <protection locked="0"/>
    </xf>
    <xf numFmtId="0" fontId="7" fillId="0" borderId="74" xfId="1" applyNumberFormat="1" applyFont="1" applyFill="1" applyBorder="1" applyAlignment="1">
      <alignment horizontal="center" vertical="center"/>
    </xf>
    <xf numFmtId="0" fontId="26" fillId="4" borderId="74" xfId="0" applyFont="1" applyFill="1" applyBorder="1" applyAlignment="1" applyProtection="1">
      <alignment horizontal="center" vertical="center"/>
      <protection locked="0"/>
    </xf>
    <xf numFmtId="0" fontId="26" fillId="4" borderId="74" xfId="0" applyFont="1" applyFill="1" applyBorder="1" applyAlignment="1" applyProtection="1">
      <alignment horizontal="center" vertical="center" wrapText="1"/>
      <protection locked="0"/>
    </xf>
    <xf numFmtId="0" fontId="39" fillId="4" borderId="74" xfId="0" applyFont="1" applyFill="1" applyBorder="1" applyAlignment="1" applyProtection="1">
      <alignment horizontal="center" vertical="center" wrapText="1"/>
      <protection locked="0"/>
    </xf>
    <xf numFmtId="0" fontId="39" fillId="2" borderId="74" xfId="0" applyFont="1" applyFill="1" applyBorder="1" applyAlignment="1" applyProtection="1">
      <alignment horizontal="center" vertical="center" wrapText="1"/>
      <protection locked="0"/>
    </xf>
    <xf numFmtId="0" fontId="41" fillId="2" borderId="0" xfId="0" applyFont="1" applyFill="1" applyBorder="1" applyProtection="1">
      <protection locked="0"/>
    </xf>
    <xf numFmtId="43" fontId="6" fillId="2" borderId="0" xfId="0" applyNumberFormat="1" applyFont="1" applyFill="1" applyProtection="1">
      <protection locked="0"/>
    </xf>
    <xf numFmtId="43" fontId="6" fillId="2" borderId="0" xfId="1" applyFont="1" applyFill="1" applyAlignment="1" applyProtection="1">
      <alignment horizontal="center"/>
      <protection locked="0"/>
    </xf>
    <xf numFmtId="43" fontId="25" fillId="0" borderId="0" xfId="3" applyNumberFormat="1" applyFont="1"/>
    <xf numFmtId="10" fontId="25" fillId="0" borderId="0" xfId="2" applyNumberFormat="1" applyFont="1"/>
    <xf numFmtId="0" fontId="8" fillId="0" borderId="0" xfId="7" applyFont="1" applyFill="1" applyBorder="1" applyAlignment="1"/>
    <xf numFmtId="43" fontId="8" fillId="18" borderId="85" xfId="5" applyFont="1" applyFill="1" applyBorder="1" applyAlignment="1">
      <alignment horizontal="center"/>
    </xf>
    <xf numFmtId="0" fontId="8" fillId="0" borderId="85" xfId="7" applyFont="1" applyBorder="1" applyAlignment="1">
      <alignment horizontal="center"/>
    </xf>
    <xf numFmtId="43" fontId="7" fillId="0" borderId="68" xfId="5" applyBorder="1" applyAlignment="1">
      <alignment horizontal="center" vertical="center"/>
    </xf>
    <xf numFmtId="43" fontId="20" fillId="0" borderId="68" xfId="5" applyFont="1" applyBorder="1" applyAlignment="1">
      <alignment vertical="center" wrapText="1"/>
    </xf>
    <xf numFmtId="0" fontId="7" fillId="0" borderId="68" xfId="1" applyNumberFormat="1" applyFont="1" applyFill="1" applyBorder="1" applyAlignment="1">
      <alignment horizontal="center" vertical="center"/>
    </xf>
    <xf numFmtId="43" fontId="7" fillId="0" borderId="68" xfId="5" applyFill="1" applyBorder="1" applyAlignment="1">
      <alignment vertical="center"/>
    </xf>
    <xf numFmtId="43" fontId="8" fillId="0" borderId="85" xfId="5" applyFont="1" applyBorder="1" applyAlignment="1">
      <alignment horizontal="center" vertical="center"/>
    </xf>
    <xf numFmtId="0" fontId="23" fillId="12" borderId="85" xfId="7" applyFont="1" applyFill="1" applyBorder="1" applyAlignment="1">
      <alignment horizontal="center" vertical="center"/>
    </xf>
    <xf numFmtId="43" fontId="20" fillId="0" borderId="83" xfId="5" applyFont="1" applyBorder="1" applyAlignment="1">
      <alignment vertical="center" wrapText="1"/>
    </xf>
    <xf numFmtId="43" fontId="20" fillId="0" borderId="84" xfId="5" applyFont="1" applyBorder="1" applyAlignment="1">
      <alignment vertical="center" wrapText="1"/>
    </xf>
    <xf numFmtId="43" fontId="8" fillId="0" borderId="83" xfId="5" applyFont="1" applyFill="1" applyBorder="1" applyAlignment="1">
      <alignment horizontal="center" vertical="center"/>
    </xf>
    <xf numFmtId="43" fontId="8" fillId="0" borderId="84" xfId="5" applyFont="1" applyFill="1" applyBorder="1" applyAlignment="1">
      <alignment horizontal="center" vertical="center"/>
    </xf>
    <xf numFmtId="0" fontId="24" fillId="0" borderId="46" xfId="7" applyFont="1" applyBorder="1" applyAlignment="1">
      <alignment horizontal="center" vertical="center"/>
    </xf>
    <xf numFmtId="0" fontId="24" fillId="0" borderId="3" xfId="7" applyFont="1" applyBorder="1" applyAlignment="1">
      <alignment horizontal="center" vertical="center"/>
    </xf>
    <xf numFmtId="0" fontId="23" fillId="12" borderId="52" xfId="7" applyFont="1" applyFill="1" applyBorder="1" applyAlignment="1">
      <alignment horizontal="left" vertical="center" wrapText="1"/>
    </xf>
    <xf numFmtId="0" fontId="23" fillId="12" borderId="53" xfId="7" applyFont="1" applyFill="1" applyBorder="1" applyAlignment="1">
      <alignment horizontal="left" vertical="center" wrapText="1"/>
    </xf>
    <xf numFmtId="0" fontId="23" fillId="12" borderId="52" xfId="7" applyFont="1" applyFill="1" applyBorder="1" applyAlignment="1">
      <alignment horizontal="center" vertical="center" wrapText="1"/>
    </xf>
    <xf numFmtId="0" fontId="23" fillId="12" borderId="53" xfId="7" applyFont="1" applyFill="1" applyBorder="1" applyAlignment="1">
      <alignment horizontal="center" vertical="center" wrapText="1"/>
    </xf>
    <xf numFmtId="0" fontId="19" fillId="9" borderId="48" xfId="7" applyFont="1" applyFill="1" applyBorder="1" applyAlignment="1">
      <alignment horizontal="center" vertical="center"/>
    </xf>
    <xf numFmtId="0" fontId="19" fillId="9" borderId="49" xfId="7" applyFont="1" applyFill="1" applyBorder="1" applyAlignment="1">
      <alignment horizontal="center" vertical="center"/>
    </xf>
    <xf numFmtId="0" fontId="19" fillId="10" borderId="49" xfId="7" applyFont="1" applyFill="1" applyBorder="1" applyAlignment="1">
      <alignment horizontal="left" vertical="center" wrapText="1"/>
    </xf>
    <xf numFmtId="0" fontId="23" fillId="12" borderId="75" xfId="7" applyFont="1" applyFill="1" applyBorder="1" applyAlignment="1">
      <alignment horizontal="left" vertical="center" wrapText="1"/>
    </xf>
    <xf numFmtId="0" fontId="23" fillId="12" borderId="76" xfId="7" applyFont="1" applyFill="1" applyBorder="1" applyAlignment="1">
      <alignment horizontal="left" vertical="center" wrapText="1"/>
    </xf>
    <xf numFmtId="0" fontId="23" fillId="12" borderId="52" xfId="7" applyFont="1" applyFill="1" applyBorder="1" applyAlignment="1">
      <alignment horizontal="center" vertical="center"/>
    </xf>
    <xf numFmtId="0" fontId="23" fillId="12" borderId="53" xfId="7" applyFont="1" applyFill="1" applyBorder="1" applyAlignment="1">
      <alignment horizontal="center" vertical="center"/>
    </xf>
    <xf numFmtId="0" fontId="8" fillId="0" borderId="77" xfId="7" applyFont="1" applyBorder="1" applyAlignment="1">
      <alignment horizontal="center"/>
    </xf>
    <xf numFmtId="0" fontId="8" fillId="0" borderId="78" xfId="7" applyFont="1" applyBorder="1" applyAlignment="1">
      <alignment horizontal="center"/>
    </xf>
    <xf numFmtId="43" fontId="8" fillId="0" borderId="79" xfId="5" applyFont="1" applyBorder="1" applyAlignment="1">
      <alignment horizontal="center" vertical="center"/>
    </xf>
    <xf numFmtId="43" fontId="8" fillId="0" borderId="80" xfId="5" applyFont="1" applyBorder="1" applyAlignment="1">
      <alignment horizontal="center" vertical="center"/>
    </xf>
    <xf numFmtId="43" fontId="8" fillId="0" borderId="81" xfId="5" applyFont="1" applyBorder="1" applyAlignment="1">
      <alignment horizontal="center" vertical="center"/>
    </xf>
    <xf numFmtId="43" fontId="8" fillId="0" borderId="82" xfId="5" applyFont="1" applyBorder="1" applyAlignment="1">
      <alignment horizontal="center" vertical="center"/>
    </xf>
    <xf numFmtId="43" fontId="8" fillId="0" borderId="59" xfId="5" applyFont="1" applyBorder="1" applyAlignment="1">
      <alignment horizontal="center" vertical="center"/>
    </xf>
    <xf numFmtId="43" fontId="8" fillId="0" borderId="39" xfId="5" applyFont="1" applyBorder="1" applyAlignment="1">
      <alignment horizontal="center" vertical="center"/>
    </xf>
    <xf numFmtId="0" fontId="23" fillId="12" borderId="47" xfId="7" applyFont="1" applyFill="1" applyBorder="1" applyAlignment="1">
      <alignment horizontal="center" vertical="center"/>
    </xf>
    <xf numFmtId="0" fontId="23" fillId="12" borderId="57" xfId="7" applyFont="1" applyFill="1" applyBorder="1" applyAlignment="1">
      <alignment horizontal="center" vertical="center"/>
    </xf>
    <xf numFmtId="0" fontId="23" fillId="12" borderId="58" xfId="7" applyFont="1" applyFill="1" applyBorder="1" applyAlignment="1">
      <alignment horizontal="center" vertical="center"/>
    </xf>
    <xf numFmtId="43" fontId="20" fillId="0" borderId="36" xfId="7" applyNumberFormat="1" applyFont="1" applyBorder="1" applyAlignment="1">
      <alignment horizontal="center"/>
    </xf>
    <xf numFmtId="43" fontId="20" fillId="0" borderId="37" xfId="7" applyNumberFormat="1" applyFont="1" applyBorder="1" applyAlignment="1">
      <alignment horizontal="center"/>
    </xf>
    <xf numFmtId="0" fontId="18" fillId="0" borderId="41" xfId="7" applyFont="1" applyBorder="1" applyAlignment="1">
      <alignment horizontal="center"/>
    </xf>
    <xf numFmtId="0" fontId="18" fillId="0" borderId="42" xfId="7" applyFont="1" applyBorder="1" applyAlignment="1">
      <alignment horizontal="center"/>
    </xf>
    <xf numFmtId="0" fontId="20" fillId="0" borderId="36" xfId="7" applyFont="1" applyBorder="1" applyAlignment="1">
      <alignment horizontal="center"/>
    </xf>
    <xf numFmtId="0" fontId="20" fillId="0" borderId="37" xfId="7" applyFont="1" applyBorder="1" applyAlignment="1">
      <alignment horizontal="center"/>
    </xf>
    <xf numFmtId="0" fontId="20" fillId="3" borderId="36" xfId="7" applyFont="1" applyFill="1" applyBorder="1" applyAlignment="1">
      <alignment horizontal="center"/>
    </xf>
    <xf numFmtId="0" fontId="20" fillId="3" borderId="37" xfId="7" applyFont="1" applyFill="1" applyBorder="1" applyAlignment="1">
      <alignment horizontal="center"/>
    </xf>
    <xf numFmtId="0" fontId="9" fillId="5" borderId="30" xfId="3" applyFont="1" applyFill="1" applyBorder="1" applyAlignment="1">
      <alignment horizontal="center" vertical="center"/>
    </xf>
    <xf numFmtId="0" fontId="19" fillId="0" borderId="31" xfId="7" applyFont="1" applyBorder="1" applyAlignment="1">
      <alignment horizontal="center"/>
    </xf>
    <xf numFmtId="0" fontId="19" fillId="0" borderId="32" xfId="7" applyFont="1" applyBorder="1" applyAlignment="1">
      <alignment horizontal="center"/>
    </xf>
    <xf numFmtId="0" fontId="10" fillId="8" borderId="28" xfId="3" applyFont="1" applyFill="1" applyBorder="1" applyAlignment="1">
      <alignment horizontal="center" vertical="center"/>
    </xf>
    <xf numFmtId="0" fontId="9" fillId="5" borderId="5" xfId="3" applyFont="1" applyFill="1" applyBorder="1" applyAlignment="1">
      <alignment horizontal="center" vertical="center"/>
    </xf>
    <xf numFmtId="0" fontId="9" fillId="5" borderId="6" xfId="3" applyFont="1" applyFill="1" applyBorder="1" applyAlignment="1">
      <alignment horizontal="center" vertical="center"/>
    </xf>
    <xf numFmtId="0" fontId="9" fillId="5" borderId="7" xfId="3" applyFont="1" applyFill="1" applyBorder="1" applyAlignment="1">
      <alignment horizontal="center" vertical="center"/>
    </xf>
    <xf numFmtId="0" fontId="10" fillId="6" borderId="8" xfId="3" applyFont="1" applyFill="1" applyBorder="1" applyAlignment="1">
      <alignment horizontal="center" vertical="center" wrapText="1"/>
    </xf>
    <xf numFmtId="0" fontId="10" fillId="6" borderId="8" xfId="3" applyFont="1" applyFill="1" applyBorder="1" applyAlignment="1">
      <alignment horizontal="center" vertical="center"/>
    </xf>
    <xf numFmtId="0" fontId="10" fillId="6" borderId="9" xfId="3" applyFont="1" applyFill="1" applyBorder="1" applyAlignment="1">
      <alignment horizontal="center" vertical="center"/>
    </xf>
    <xf numFmtId="0" fontId="10" fillId="6" borderId="10" xfId="3" applyFont="1" applyFill="1" applyBorder="1" applyAlignment="1">
      <alignment horizontal="center" vertical="center"/>
    </xf>
    <xf numFmtId="0" fontId="10" fillId="6" borderId="11" xfId="3" applyFont="1" applyFill="1" applyBorder="1" applyAlignment="1">
      <alignment horizontal="center" vertical="center"/>
    </xf>
    <xf numFmtId="0" fontId="10" fillId="6" borderId="14" xfId="3" applyFont="1" applyFill="1" applyBorder="1" applyAlignment="1">
      <alignment horizontal="center" vertical="center"/>
    </xf>
    <xf numFmtId="0" fontId="10" fillId="6" borderId="15" xfId="3" applyFont="1" applyFill="1" applyBorder="1" applyAlignment="1">
      <alignment horizontal="center" vertical="center"/>
    </xf>
    <xf numFmtId="166" fontId="10" fillId="0" borderId="12" xfId="3" applyNumberFormat="1" applyFont="1" applyFill="1" applyBorder="1" applyAlignment="1">
      <alignment horizontal="center" vertical="center"/>
    </xf>
    <xf numFmtId="166" fontId="10" fillId="0" borderId="13" xfId="3" applyNumberFormat="1" applyFont="1" applyFill="1" applyBorder="1" applyAlignment="1">
      <alignment horizontal="center" vertical="center"/>
    </xf>
    <xf numFmtId="0" fontId="10" fillId="6" borderId="55" xfId="3" applyFont="1" applyFill="1" applyBorder="1" applyAlignment="1">
      <alignment horizontal="left" vertical="center" wrapText="1"/>
    </xf>
    <xf numFmtId="0" fontId="10" fillId="6" borderId="56" xfId="3" applyFont="1" applyFill="1" applyBorder="1" applyAlignment="1">
      <alignment horizontal="left" vertical="center" wrapText="1"/>
    </xf>
    <xf numFmtId="0" fontId="10" fillId="6" borderId="60" xfId="3" applyFont="1" applyFill="1" applyBorder="1" applyAlignment="1">
      <alignment horizontal="left" vertical="center"/>
    </xf>
    <xf numFmtId="0" fontId="10" fillId="6" borderId="61" xfId="3" applyFont="1" applyFill="1" applyBorder="1" applyAlignment="1">
      <alignment horizontal="left" vertical="center"/>
    </xf>
    <xf numFmtId="0" fontId="2" fillId="0" borderId="74" xfId="0" applyFont="1" applyBorder="1" applyAlignment="1">
      <alignment horizontal="center" wrapText="1"/>
    </xf>
    <xf numFmtId="0" fontId="2" fillId="0" borderId="74" xfId="0" applyFont="1" applyBorder="1" applyAlignment="1">
      <alignment horizontal="center" vertical="center" wrapText="1"/>
    </xf>
    <xf numFmtId="0" fontId="2" fillId="0" borderId="66" xfId="0" applyFont="1" applyBorder="1" applyAlignment="1">
      <alignment horizontal="center" vertical="center" wrapText="1"/>
    </xf>
    <xf numFmtId="0" fontId="2" fillId="0" borderId="67" xfId="0" applyFont="1" applyBorder="1" applyAlignment="1">
      <alignment horizontal="center" vertical="center" wrapText="1"/>
    </xf>
    <xf numFmtId="0" fontId="2" fillId="0" borderId="68" xfId="0" applyFont="1" applyBorder="1" applyAlignment="1">
      <alignment horizontal="center" vertical="center" wrapText="1"/>
    </xf>
    <xf numFmtId="0" fontId="2" fillId="0" borderId="66" xfId="0" applyFont="1" applyBorder="1" applyAlignment="1">
      <alignment horizontal="center" vertical="center"/>
    </xf>
    <xf numFmtId="0" fontId="2" fillId="0" borderId="67" xfId="0" applyFont="1" applyBorder="1" applyAlignment="1">
      <alignment horizontal="center" vertical="center"/>
    </xf>
    <xf numFmtId="0" fontId="2" fillId="0" borderId="68" xfId="0" applyFont="1" applyBorder="1" applyAlignment="1">
      <alignment horizontal="center" vertical="center"/>
    </xf>
    <xf numFmtId="0" fontId="2" fillId="0" borderId="64" xfId="0" applyFont="1" applyBorder="1" applyAlignment="1">
      <alignment horizontal="center" vertical="center"/>
    </xf>
    <xf numFmtId="0" fontId="2" fillId="4" borderId="65" xfId="0" applyFont="1" applyFill="1" applyBorder="1" applyAlignment="1">
      <alignment horizontal="center" vertical="center"/>
    </xf>
    <xf numFmtId="0" fontId="2" fillId="4" borderId="1" xfId="0" applyFont="1" applyFill="1" applyBorder="1" applyAlignment="1">
      <alignment horizontal="center" vertical="center"/>
    </xf>
    <xf numFmtId="0" fontId="0" fillId="0" borderId="66" xfId="0" applyBorder="1" applyAlignment="1">
      <alignment horizontal="center" vertical="center" wrapText="1"/>
    </xf>
    <xf numFmtId="0" fontId="0" fillId="0" borderId="67" xfId="0" applyBorder="1" applyAlignment="1">
      <alignment horizontal="center" vertical="center" wrapText="1"/>
    </xf>
    <xf numFmtId="0" fontId="0" fillId="0" borderId="68" xfId="0" applyBorder="1" applyAlignment="1">
      <alignment horizontal="center" vertical="center" wrapText="1"/>
    </xf>
    <xf numFmtId="0" fontId="33" fillId="0" borderId="66" xfId="0" applyFont="1" applyBorder="1" applyAlignment="1">
      <alignment horizontal="center" vertical="center"/>
    </xf>
    <xf numFmtId="0" fontId="33" fillId="0" borderId="67" xfId="0" applyFont="1" applyBorder="1" applyAlignment="1">
      <alignment horizontal="center" vertical="center"/>
    </xf>
    <xf numFmtId="0" fontId="33" fillId="0" borderId="68" xfId="0" applyFont="1" applyBorder="1" applyAlignment="1">
      <alignment horizontal="center" vertical="center"/>
    </xf>
    <xf numFmtId="0" fontId="34" fillId="0" borderId="66" xfId="0" applyFont="1" applyBorder="1" applyAlignment="1">
      <alignment horizontal="center" vertical="center" wrapText="1"/>
    </xf>
    <xf numFmtId="0" fontId="34" fillId="0" borderId="67" xfId="0" applyFont="1" applyBorder="1" applyAlignment="1">
      <alignment horizontal="center" vertical="center" wrapText="1"/>
    </xf>
    <xf numFmtId="0" fontId="34" fillId="0" borderId="68" xfId="0" applyFont="1" applyBorder="1" applyAlignment="1">
      <alignment horizontal="center" vertical="center" wrapText="1"/>
    </xf>
    <xf numFmtId="0" fontId="0" fillId="0" borderId="64" xfId="0" applyBorder="1" applyAlignment="1">
      <alignment horizontal="center" wrapText="1"/>
    </xf>
    <xf numFmtId="0" fontId="0" fillId="0" borderId="64" xfId="0" applyBorder="1" applyAlignment="1">
      <alignment horizontal="center"/>
    </xf>
    <xf numFmtId="0" fontId="27" fillId="14" borderId="64" xfId="0" applyFont="1" applyFill="1" applyBorder="1" applyAlignment="1">
      <alignment horizontal="center" vertical="center" wrapText="1"/>
    </xf>
    <xf numFmtId="0" fontId="28" fillId="15" borderId="64" xfId="0" applyFont="1" applyFill="1" applyBorder="1" applyAlignment="1">
      <alignment horizontal="center" vertical="center" wrapText="1"/>
    </xf>
    <xf numFmtId="0" fontId="27" fillId="14" borderId="64" xfId="0" applyFont="1" applyFill="1" applyBorder="1" applyAlignment="1">
      <alignment horizontal="center" vertical="center"/>
    </xf>
    <xf numFmtId="0" fontId="2" fillId="0" borderId="64" xfId="0" applyFont="1" applyBorder="1" applyAlignment="1">
      <alignment horizontal="center" vertical="center" wrapText="1"/>
    </xf>
    <xf numFmtId="0" fontId="0" fillId="0" borderId="0" xfId="0" applyBorder="1" applyAlignment="1">
      <alignment horizontal="left" vertical="center" wrapText="1"/>
    </xf>
    <xf numFmtId="0" fontId="2" fillId="0" borderId="64" xfId="0" applyFont="1" applyBorder="1" applyAlignment="1">
      <alignment horizontal="center"/>
    </xf>
    <xf numFmtId="0" fontId="0" fillId="19" borderId="0" xfId="0" applyFill="1" applyAlignment="1">
      <alignment horizontal="center"/>
    </xf>
    <xf numFmtId="0" fontId="0" fillId="0" borderId="0" xfId="0" applyAlignment="1">
      <alignment horizontal="left" vertical="center" wrapText="1"/>
    </xf>
    <xf numFmtId="0" fontId="2" fillId="19" borderId="70" xfId="0" applyFont="1" applyFill="1" applyBorder="1" applyAlignment="1">
      <alignment horizontal="center"/>
    </xf>
    <xf numFmtId="0" fontId="2" fillId="19" borderId="69" xfId="0" applyFont="1" applyFill="1" applyBorder="1" applyAlignment="1">
      <alignment horizontal="center"/>
    </xf>
    <xf numFmtId="0" fontId="2" fillId="20" borderId="64" xfId="0" applyFont="1" applyFill="1" applyBorder="1" applyAlignment="1">
      <alignment horizontal="center"/>
    </xf>
    <xf numFmtId="0" fontId="2" fillId="0" borderId="64" xfId="0" applyFont="1" applyBorder="1" applyAlignment="1">
      <alignment horizontal="right"/>
    </xf>
    <xf numFmtId="0" fontId="0" fillId="0" borderId="71" xfId="0" applyFont="1" applyBorder="1" applyAlignment="1">
      <alignment horizontal="center" vertical="center" wrapText="1"/>
    </xf>
    <xf numFmtId="0" fontId="0" fillId="0" borderId="71" xfId="0" applyFont="1" applyBorder="1" applyAlignment="1">
      <alignment horizontal="center" wrapText="1"/>
    </xf>
    <xf numFmtId="0" fontId="0" fillId="0" borderId="72" xfId="0" applyFont="1" applyBorder="1" applyAlignment="1">
      <alignment horizontal="center" vertical="center" wrapText="1"/>
    </xf>
    <xf numFmtId="0" fontId="0" fillId="0" borderId="73" xfId="0" applyFont="1" applyBorder="1" applyAlignment="1">
      <alignment horizontal="center" vertical="center" wrapText="1"/>
    </xf>
  </cellXfs>
  <cellStyles count="13">
    <cellStyle name="Excel Built-in Comma 1" xfId="4"/>
    <cellStyle name="Excel Built-in Normal" xfId="3"/>
    <cellStyle name="Hiperlink" xfId="9" builtinId="8"/>
    <cellStyle name="Moeda" xfId="10" builtinId="4"/>
    <cellStyle name="Normal" xfId="0" builtinId="0"/>
    <cellStyle name="Normal 2" xfId="7"/>
    <cellStyle name="Porcentagem" xfId="2" builtinId="5"/>
    <cellStyle name="Porcentagem 2" xfId="6"/>
    <cellStyle name="Separador de milhares 2" xfId="8"/>
    <cellStyle name="Vírgula" xfId="1" builtinId="3"/>
    <cellStyle name="Vírgula 2" xfId="5"/>
    <cellStyle name="Vírgula 2 2" xfId="12"/>
    <cellStyle name="Vírgula 3"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1872798</xdr:colOff>
      <xdr:row>2</xdr:row>
      <xdr:rowOff>95250</xdr:rowOff>
    </xdr:to>
    <xdr:pic>
      <xdr:nvPicPr>
        <xdr:cNvPr id="2" name="Imagem 1">
          <a:extLst>
            <a:ext uri="{FF2B5EF4-FFF2-40B4-BE49-F238E27FC236}">
              <a16:creationId xmlns:a16="http://schemas.microsoft.com/office/drawing/2014/main" id="{EBE2BACD-6236-4A25-B507-A01582B47748}"/>
            </a:ext>
          </a:extLst>
        </xdr:cNvPr>
        <xdr:cNvPicPr>
          <a:picLocks noChangeAspect="1"/>
        </xdr:cNvPicPr>
      </xdr:nvPicPr>
      <xdr:blipFill>
        <a:blip xmlns:r="http://schemas.openxmlformats.org/officeDocument/2006/relationships" r:embed="rId1"/>
        <a:stretch>
          <a:fillRect/>
        </a:stretch>
      </xdr:blipFill>
      <xdr:spPr>
        <a:xfrm>
          <a:off x="0" y="0"/>
          <a:ext cx="2549073" cy="476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1809750</xdr:colOff>
      <xdr:row>4</xdr:row>
      <xdr:rowOff>228600</xdr:rowOff>
    </xdr:from>
    <xdr:to>
      <xdr:col>0</xdr:col>
      <xdr:colOff>847725</xdr:colOff>
      <xdr:row>4</xdr:row>
      <xdr:rowOff>495300</xdr:rowOff>
    </xdr:to>
    <xdr:sp macro="" textlink="">
      <xdr:nvSpPr>
        <xdr:cNvPr id="3" name="CaixaDeTexto 9">
          <a:extLst>
            <a:ext uri="{FF2B5EF4-FFF2-40B4-BE49-F238E27FC236}">
              <a16:creationId xmlns:a16="http://schemas.microsoft.com/office/drawing/2014/main" id="{F6769010-16E7-42E2-ADF9-CFA20E5D014F}"/>
            </a:ext>
          </a:extLst>
        </xdr:cNvPr>
        <xdr:cNvSpPr>
          <a:spLocks noChangeArrowheads="1"/>
        </xdr:cNvSpPr>
      </xdr:nvSpPr>
      <xdr:spPr bwMode="auto">
        <a:xfrm>
          <a:off x="828675" y="676275"/>
          <a:ext cx="0" cy="190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1809750</xdr:colOff>
      <xdr:row>31</xdr:row>
      <xdr:rowOff>228600</xdr:rowOff>
    </xdr:from>
    <xdr:to>
      <xdr:col>0</xdr:col>
      <xdr:colOff>847725</xdr:colOff>
      <xdr:row>31</xdr:row>
      <xdr:rowOff>495300</xdr:rowOff>
    </xdr:to>
    <xdr:sp macro="" textlink="">
      <xdr:nvSpPr>
        <xdr:cNvPr id="11" name="CaixaDeTexto 9">
          <a:extLst>
            <a:ext uri="{FF2B5EF4-FFF2-40B4-BE49-F238E27FC236}">
              <a16:creationId xmlns:a16="http://schemas.microsoft.com/office/drawing/2014/main" id="{93260604-6DAC-49B4-A6D6-114E81AB5C27}"/>
            </a:ext>
          </a:extLst>
        </xdr:cNvPr>
        <xdr:cNvSpPr>
          <a:spLocks noChangeArrowheads="1"/>
        </xdr:cNvSpPr>
      </xdr:nvSpPr>
      <xdr:spPr bwMode="auto">
        <a:xfrm>
          <a:off x="828675" y="676835"/>
          <a:ext cx="0" cy="190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114300</xdr:colOff>
      <xdr:row>58</xdr:row>
      <xdr:rowOff>228600</xdr:rowOff>
    </xdr:from>
    <xdr:to>
      <xdr:col>0</xdr:col>
      <xdr:colOff>285750</xdr:colOff>
      <xdr:row>58</xdr:row>
      <xdr:rowOff>495300</xdr:rowOff>
    </xdr:to>
    <xdr:sp macro="" textlink="">
      <xdr:nvSpPr>
        <xdr:cNvPr id="12" name="CaixaDeTexto 2">
          <a:extLst>
            <a:ext uri="{FF2B5EF4-FFF2-40B4-BE49-F238E27FC236}">
              <a16:creationId xmlns:a16="http://schemas.microsoft.com/office/drawing/2014/main" id="{D24ACCF7-AE9E-4EA1-9539-5C373CA57677}"/>
            </a:ext>
          </a:extLst>
        </xdr:cNvPr>
        <xdr:cNvSpPr>
          <a:spLocks noChangeArrowheads="1"/>
        </xdr:cNvSpPr>
      </xdr:nvSpPr>
      <xdr:spPr bwMode="auto">
        <a:xfrm>
          <a:off x="114300" y="5451101"/>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58</xdr:row>
      <xdr:rowOff>228600</xdr:rowOff>
    </xdr:from>
    <xdr:to>
      <xdr:col>0</xdr:col>
      <xdr:colOff>847725</xdr:colOff>
      <xdr:row>58</xdr:row>
      <xdr:rowOff>495300</xdr:rowOff>
    </xdr:to>
    <xdr:sp macro="" textlink="">
      <xdr:nvSpPr>
        <xdr:cNvPr id="13" name="CaixaDeTexto 9">
          <a:extLst>
            <a:ext uri="{FF2B5EF4-FFF2-40B4-BE49-F238E27FC236}">
              <a16:creationId xmlns:a16="http://schemas.microsoft.com/office/drawing/2014/main" id="{E3E23F5D-11FB-476A-B69B-FAB00587C727}"/>
            </a:ext>
          </a:extLst>
        </xdr:cNvPr>
        <xdr:cNvSpPr>
          <a:spLocks noChangeArrowheads="1"/>
        </xdr:cNvSpPr>
      </xdr:nvSpPr>
      <xdr:spPr bwMode="auto">
        <a:xfrm>
          <a:off x="828675" y="5451101"/>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1809750</xdr:colOff>
      <xdr:row>85</xdr:row>
      <xdr:rowOff>228600</xdr:rowOff>
    </xdr:from>
    <xdr:to>
      <xdr:col>0</xdr:col>
      <xdr:colOff>847725</xdr:colOff>
      <xdr:row>85</xdr:row>
      <xdr:rowOff>495300</xdr:rowOff>
    </xdr:to>
    <xdr:sp macro="" textlink="">
      <xdr:nvSpPr>
        <xdr:cNvPr id="15" name="CaixaDeTexto 9">
          <a:extLst>
            <a:ext uri="{FF2B5EF4-FFF2-40B4-BE49-F238E27FC236}">
              <a16:creationId xmlns:a16="http://schemas.microsoft.com/office/drawing/2014/main" id="{2D97A418-5038-4181-9EFE-B17A298DDAAD}"/>
            </a:ext>
          </a:extLst>
        </xdr:cNvPr>
        <xdr:cNvSpPr>
          <a:spLocks noChangeArrowheads="1"/>
        </xdr:cNvSpPr>
      </xdr:nvSpPr>
      <xdr:spPr bwMode="auto">
        <a:xfrm>
          <a:off x="828675" y="10034307"/>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1809750</xdr:colOff>
      <xdr:row>4</xdr:row>
      <xdr:rowOff>228600</xdr:rowOff>
    </xdr:from>
    <xdr:to>
      <xdr:col>0</xdr:col>
      <xdr:colOff>847725</xdr:colOff>
      <xdr:row>4</xdr:row>
      <xdr:rowOff>495300</xdr:rowOff>
    </xdr:to>
    <xdr:sp macro="" textlink="">
      <xdr:nvSpPr>
        <xdr:cNvPr id="16" name="CaixaDeTexto 9">
          <a:extLst>
            <a:ext uri="{FF2B5EF4-FFF2-40B4-BE49-F238E27FC236}">
              <a16:creationId xmlns:a16="http://schemas.microsoft.com/office/drawing/2014/main" id="{23DFF4D7-D89A-494C-B5B9-670AA6893B12}"/>
            </a:ext>
          </a:extLst>
        </xdr:cNvPr>
        <xdr:cNvSpPr>
          <a:spLocks noChangeArrowheads="1"/>
        </xdr:cNvSpPr>
      </xdr:nvSpPr>
      <xdr:spPr bwMode="auto">
        <a:xfrm>
          <a:off x="828675" y="1057835"/>
          <a:ext cx="0" cy="1047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1809750</xdr:colOff>
      <xdr:row>4</xdr:row>
      <xdr:rowOff>228600</xdr:rowOff>
    </xdr:from>
    <xdr:to>
      <xdr:col>0</xdr:col>
      <xdr:colOff>847725</xdr:colOff>
      <xdr:row>4</xdr:row>
      <xdr:rowOff>495300</xdr:rowOff>
    </xdr:to>
    <xdr:sp macro="" textlink="">
      <xdr:nvSpPr>
        <xdr:cNvPr id="17" name="CaixaDeTexto 9">
          <a:extLst>
            <a:ext uri="{FF2B5EF4-FFF2-40B4-BE49-F238E27FC236}">
              <a16:creationId xmlns:a16="http://schemas.microsoft.com/office/drawing/2014/main" id="{75E91DE2-DA5D-44F2-80DD-932455B67177}"/>
            </a:ext>
          </a:extLst>
        </xdr:cNvPr>
        <xdr:cNvSpPr>
          <a:spLocks noChangeArrowheads="1"/>
        </xdr:cNvSpPr>
      </xdr:nvSpPr>
      <xdr:spPr bwMode="auto">
        <a:xfrm>
          <a:off x="828675" y="5764306"/>
          <a:ext cx="0" cy="1143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114300</xdr:colOff>
      <xdr:row>30</xdr:row>
      <xdr:rowOff>228600</xdr:rowOff>
    </xdr:from>
    <xdr:to>
      <xdr:col>0</xdr:col>
      <xdr:colOff>285750</xdr:colOff>
      <xdr:row>30</xdr:row>
      <xdr:rowOff>495300</xdr:rowOff>
    </xdr:to>
    <xdr:sp macro="" textlink="">
      <xdr:nvSpPr>
        <xdr:cNvPr id="4" name="CaixaDeTexto 2">
          <a:extLst>
            <a:ext uri="{FF2B5EF4-FFF2-40B4-BE49-F238E27FC236}">
              <a16:creationId xmlns:a16="http://schemas.microsoft.com/office/drawing/2014/main" id="{1C74D298-E15D-4436-8B36-04259B673319}"/>
            </a:ext>
          </a:extLst>
        </xdr:cNvPr>
        <xdr:cNvSpPr>
          <a:spLocks noChangeArrowheads="1"/>
        </xdr:cNvSpPr>
      </xdr:nvSpPr>
      <xdr:spPr bwMode="auto">
        <a:xfrm>
          <a:off x="114300" y="7219950"/>
          <a:ext cx="17145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30</xdr:row>
      <xdr:rowOff>228600</xdr:rowOff>
    </xdr:from>
    <xdr:to>
      <xdr:col>0</xdr:col>
      <xdr:colOff>847725</xdr:colOff>
      <xdr:row>30</xdr:row>
      <xdr:rowOff>495300</xdr:rowOff>
    </xdr:to>
    <xdr:sp macro="" textlink="">
      <xdr:nvSpPr>
        <xdr:cNvPr id="5" name="CaixaDeTexto 9">
          <a:extLst>
            <a:ext uri="{FF2B5EF4-FFF2-40B4-BE49-F238E27FC236}">
              <a16:creationId xmlns:a16="http://schemas.microsoft.com/office/drawing/2014/main" id="{158FCE60-2214-438B-8034-A147147F4252}"/>
            </a:ext>
          </a:extLst>
        </xdr:cNvPr>
        <xdr:cNvSpPr>
          <a:spLocks noChangeArrowheads="1"/>
        </xdr:cNvSpPr>
      </xdr:nvSpPr>
      <xdr:spPr bwMode="auto">
        <a:xfrm>
          <a:off x="828675" y="7219950"/>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56</xdr:row>
      <xdr:rowOff>228600</xdr:rowOff>
    </xdr:from>
    <xdr:to>
      <xdr:col>0</xdr:col>
      <xdr:colOff>285750</xdr:colOff>
      <xdr:row>56</xdr:row>
      <xdr:rowOff>495300</xdr:rowOff>
    </xdr:to>
    <xdr:sp macro="" textlink="">
      <xdr:nvSpPr>
        <xdr:cNvPr id="10" name="CaixaDeTexto 2">
          <a:extLst>
            <a:ext uri="{FF2B5EF4-FFF2-40B4-BE49-F238E27FC236}">
              <a16:creationId xmlns:a16="http://schemas.microsoft.com/office/drawing/2014/main" id="{27107B56-AB14-44E8-A7A0-5F9664566E42}"/>
            </a:ext>
          </a:extLst>
        </xdr:cNvPr>
        <xdr:cNvSpPr>
          <a:spLocks noChangeArrowheads="1"/>
        </xdr:cNvSpPr>
      </xdr:nvSpPr>
      <xdr:spPr bwMode="auto">
        <a:xfrm>
          <a:off x="114300" y="923365"/>
          <a:ext cx="17145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56</xdr:row>
      <xdr:rowOff>228600</xdr:rowOff>
    </xdr:from>
    <xdr:to>
      <xdr:col>0</xdr:col>
      <xdr:colOff>847725</xdr:colOff>
      <xdr:row>56</xdr:row>
      <xdr:rowOff>495300</xdr:rowOff>
    </xdr:to>
    <xdr:sp macro="" textlink="">
      <xdr:nvSpPr>
        <xdr:cNvPr id="11" name="CaixaDeTexto 9">
          <a:extLst>
            <a:ext uri="{FF2B5EF4-FFF2-40B4-BE49-F238E27FC236}">
              <a16:creationId xmlns:a16="http://schemas.microsoft.com/office/drawing/2014/main" id="{8FAA5305-C35C-4265-A6C1-A3D88FB9B76D}"/>
            </a:ext>
          </a:extLst>
        </xdr:cNvPr>
        <xdr:cNvSpPr>
          <a:spLocks noChangeArrowheads="1"/>
        </xdr:cNvSpPr>
      </xdr:nvSpPr>
      <xdr:spPr bwMode="auto">
        <a:xfrm>
          <a:off x="828675" y="923365"/>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82</xdr:row>
      <xdr:rowOff>228600</xdr:rowOff>
    </xdr:from>
    <xdr:to>
      <xdr:col>0</xdr:col>
      <xdr:colOff>285750</xdr:colOff>
      <xdr:row>82</xdr:row>
      <xdr:rowOff>495300</xdr:rowOff>
    </xdr:to>
    <xdr:sp macro="" textlink="">
      <xdr:nvSpPr>
        <xdr:cNvPr id="12" name="CaixaDeTexto 2">
          <a:extLst>
            <a:ext uri="{FF2B5EF4-FFF2-40B4-BE49-F238E27FC236}">
              <a16:creationId xmlns:a16="http://schemas.microsoft.com/office/drawing/2014/main" id="{EFA98D81-6FFA-4A62-AF14-D65AC8B1FF73}"/>
            </a:ext>
          </a:extLst>
        </xdr:cNvPr>
        <xdr:cNvSpPr>
          <a:spLocks noChangeArrowheads="1"/>
        </xdr:cNvSpPr>
      </xdr:nvSpPr>
      <xdr:spPr bwMode="auto">
        <a:xfrm>
          <a:off x="114300" y="5518337"/>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82</xdr:row>
      <xdr:rowOff>228600</xdr:rowOff>
    </xdr:from>
    <xdr:to>
      <xdr:col>0</xdr:col>
      <xdr:colOff>847725</xdr:colOff>
      <xdr:row>82</xdr:row>
      <xdr:rowOff>495300</xdr:rowOff>
    </xdr:to>
    <xdr:sp macro="" textlink="">
      <xdr:nvSpPr>
        <xdr:cNvPr id="13" name="CaixaDeTexto 9">
          <a:extLst>
            <a:ext uri="{FF2B5EF4-FFF2-40B4-BE49-F238E27FC236}">
              <a16:creationId xmlns:a16="http://schemas.microsoft.com/office/drawing/2014/main" id="{13ECF48D-2DE1-4718-AF0D-FB74B31D7CDF}"/>
            </a:ext>
          </a:extLst>
        </xdr:cNvPr>
        <xdr:cNvSpPr>
          <a:spLocks noChangeArrowheads="1"/>
        </xdr:cNvSpPr>
      </xdr:nvSpPr>
      <xdr:spPr bwMode="auto">
        <a:xfrm>
          <a:off x="828675" y="5518337"/>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108</xdr:row>
      <xdr:rowOff>228600</xdr:rowOff>
    </xdr:from>
    <xdr:to>
      <xdr:col>0</xdr:col>
      <xdr:colOff>285750</xdr:colOff>
      <xdr:row>108</xdr:row>
      <xdr:rowOff>495300</xdr:rowOff>
    </xdr:to>
    <xdr:sp macro="" textlink="">
      <xdr:nvSpPr>
        <xdr:cNvPr id="14" name="CaixaDeTexto 2">
          <a:extLst>
            <a:ext uri="{FF2B5EF4-FFF2-40B4-BE49-F238E27FC236}">
              <a16:creationId xmlns:a16="http://schemas.microsoft.com/office/drawing/2014/main" id="{FD2A73E9-8D17-479B-B30C-B917F9D6A1DA}"/>
            </a:ext>
          </a:extLst>
        </xdr:cNvPr>
        <xdr:cNvSpPr>
          <a:spLocks noChangeArrowheads="1"/>
        </xdr:cNvSpPr>
      </xdr:nvSpPr>
      <xdr:spPr bwMode="auto">
        <a:xfrm>
          <a:off x="114300" y="9619690"/>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108</xdr:row>
      <xdr:rowOff>228600</xdr:rowOff>
    </xdr:from>
    <xdr:to>
      <xdr:col>0</xdr:col>
      <xdr:colOff>847725</xdr:colOff>
      <xdr:row>108</xdr:row>
      <xdr:rowOff>495300</xdr:rowOff>
    </xdr:to>
    <xdr:sp macro="" textlink="">
      <xdr:nvSpPr>
        <xdr:cNvPr id="15" name="CaixaDeTexto 9">
          <a:extLst>
            <a:ext uri="{FF2B5EF4-FFF2-40B4-BE49-F238E27FC236}">
              <a16:creationId xmlns:a16="http://schemas.microsoft.com/office/drawing/2014/main" id="{F0A35D07-2E7A-42F1-8C22-0BF6DE51CC86}"/>
            </a:ext>
          </a:extLst>
        </xdr:cNvPr>
        <xdr:cNvSpPr>
          <a:spLocks noChangeArrowheads="1"/>
        </xdr:cNvSpPr>
      </xdr:nvSpPr>
      <xdr:spPr bwMode="auto">
        <a:xfrm>
          <a:off x="828675" y="9619690"/>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134</xdr:row>
      <xdr:rowOff>228600</xdr:rowOff>
    </xdr:from>
    <xdr:to>
      <xdr:col>0</xdr:col>
      <xdr:colOff>285750</xdr:colOff>
      <xdr:row>134</xdr:row>
      <xdr:rowOff>495300</xdr:rowOff>
    </xdr:to>
    <xdr:sp macro="" textlink="">
      <xdr:nvSpPr>
        <xdr:cNvPr id="16" name="CaixaDeTexto 2">
          <a:extLst>
            <a:ext uri="{FF2B5EF4-FFF2-40B4-BE49-F238E27FC236}">
              <a16:creationId xmlns:a16="http://schemas.microsoft.com/office/drawing/2014/main" id="{8AA58B8B-7D71-403C-A3DE-0C8E861679DB}"/>
            </a:ext>
          </a:extLst>
        </xdr:cNvPr>
        <xdr:cNvSpPr>
          <a:spLocks noChangeArrowheads="1"/>
        </xdr:cNvSpPr>
      </xdr:nvSpPr>
      <xdr:spPr bwMode="auto">
        <a:xfrm>
          <a:off x="114300" y="13721043"/>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134</xdr:row>
      <xdr:rowOff>228600</xdr:rowOff>
    </xdr:from>
    <xdr:to>
      <xdr:col>0</xdr:col>
      <xdr:colOff>847725</xdr:colOff>
      <xdr:row>134</xdr:row>
      <xdr:rowOff>495300</xdr:rowOff>
    </xdr:to>
    <xdr:sp macro="" textlink="">
      <xdr:nvSpPr>
        <xdr:cNvPr id="17" name="CaixaDeTexto 9">
          <a:extLst>
            <a:ext uri="{FF2B5EF4-FFF2-40B4-BE49-F238E27FC236}">
              <a16:creationId xmlns:a16="http://schemas.microsoft.com/office/drawing/2014/main" id="{0AE54EA3-C10F-41BB-90C7-A895643FF26D}"/>
            </a:ext>
          </a:extLst>
        </xdr:cNvPr>
        <xdr:cNvSpPr>
          <a:spLocks noChangeArrowheads="1"/>
        </xdr:cNvSpPr>
      </xdr:nvSpPr>
      <xdr:spPr bwMode="auto">
        <a:xfrm>
          <a:off x="828675" y="13721043"/>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160</xdr:row>
      <xdr:rowOff>228600</xdr:rowOff>
    </xdr:from>
    <xdr:to>
      <xdr:col>0</xdr:col>
      <xdr:colOff>285750</xdr:colOff>
      <xdr:row>160</xdr:row>
      <xdr:rowOff>495300</xdr:rowOff>
    </xdr:to>
    <xdr:sp macro="" textlink="">
      <xdr:nvSpPr>
        <xdr:cNvPr id="18" name="CaixaDeTexto 2">
          <a:extLst>
            <a:ext uri="{FF2B5EF4-FFF2-40B4-BE49-F238E27FC236}">
              <a16:creationId xmlns:a16="http://schemas.microsoft.com/office/drawing/2014/main" id="{8ECA278D-6D7B-4BAD-8D6F-BCF8BDD93967}"/>
            </a:ext>
          </a:extLst>
        </xdr:cNvPr>
        <xdr:cNvSpPr>
          <a:spLocks noChangeArrowheads="1"/>
        </xdr:cNvSpPr>
      </xdr:nvSpPr>
      <xdr:spPr bwMode="auto">
        <a:xfrm>
          <a:off x="114300" y="17822396"/>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160</xdr:row>
      <xdr:rowOff>228600</xdr:rowOff>
    </xdr:from>
    <xdr:to>
      <xdr:col>0</xdr:col>
      <xdr:colOff>847725</xdr:colOff>
      <xdr:row>160</xdr:row>
      <xdr:rowOff>495300</xdr:rowOff>
    </xdr:to>
    <xdr:sp macro="" textlink="">
      <xdr:nvSpPr>
        <xdr:cNvPr id="19" name="CaixaDeTexto 9">
          <a:extLst>
            <a:ext uri="{FF2B5EF4-FFF2-40B4-BE49-F238E27FC236}">
              <a16:creationId xmlns:a16="http://schemas.microsoft.com/office/drawing/2014/main" id="{C77BC69F-B148-43DF-BC6D-04163AF70ECB}"/>
            </a:ext>
          </a:extLst>
        </xdr:cNvPr>
        <xdr:cNvSpPr>
          <a:spLocks noChangeArrowheads="1"/>
        </xdr:cNvSpPr>
      </xdr:nvSpPr>
      <xdr:spPr bwMode="auto">
        <a:xfrm>
          <a:off x="828675" y="17822396"/>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186</xdr:row>
      <xdr:rowOff>228600</xdr:rowOff>
    </xdr:from>
    <xdr:to>
      <xdr:col>0</xdr:col>
      <xdr:colOff>285750</xdr:colOff>
      <xdr:row>186</xdr:row>
      <xdr:rowOff>495300</xdr:rowOff>
    </xdr:to>
    <xdr:sp macro="" textlink="">
      <xdr:nvSpPr>
        <xdr:cNvPr id="20" name="CaixaDeTexto 2">
          <a:extLst>
            <a:ext uri="{FF2B5EF4-FFF2-40B4-BE49-F238E27FC236}">
              <a16:creationId xmlns:a16="http://schemas.microsoft.com/office/drawing/2014/main" id="{13487B8C-26C5-4100-9C8F-6FC94AFC3C17}"/>
            </a:ext>
          </a:extLst>
        </xdr:cNvPr>
        <xdr:cNvSpPr>
          <a:spLocks noChangeArrowheads="1"/>
        </xdr:cNvSpPr>
      </xdr:nvSpPr>
      <xdr:spPr bwMode="auto">
        <a:xfrm>
          <a:off x="114300" y="21923749"/>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186</xdr:row>
      <xdr:rowOff>228600</xdr:rowOff>
    </xdr:from>
    <xdr:to>
      <xdr:col>0</xdr:col>
      <xdr:colOff>847725</xdr:colOff>
      <xdr:row>186</xdr:row>
      <xdr:rowOff>495300</xdr:rowOff>
    </xdr:to>
    <xdr:sp macro="" textlink="">
      <xdr:nvSpPr>
        <xdr:cNvPr id="21" name="CaixaDeTexto 9">
          <a:extLst>
            <a:ext uri="{FF2B5EF4-FFF2-40B4-BE49-F238E27FC236}">
              <a16:creationId xmlns:a16="http://schemas.microsoft.com/office/drawing/2014/main" id="{33D9FB14-FD9C-4115-96B1-31E209CE94B8}"/>
            </a:ext>
          </a:extLst>
        </xdr:cNvPr>
        <xdr:cNvSpPr>
          <a:spLocks noChangeArrowheads="1"/>
        </xdr:cNvSpPr>
      </xdr:nvSpPr>
      <xdr:spPr bwMode="auto">
        <a:xfrm>
          <a:off x="828675" y="21923749"/>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212</xdr:row>
      <xdr:rowOff>228600</xdr:rowOff>
    </xdr:from>
    <xdr:to>
      <xdr:col>0</xdr:col>
      <xdr:colOff>285750</xdr:colOff>
      <xdr:row>212</xdr:row>
      <xdr:rowOff>495300</xdr:rowOff>
    </xdr:to>
    <xdr:sp macro="" textlink="">
      <xdr:nvSpPr>
        <xdr:cNvPr id="22" name="CaixaDeTexto 2">
          <a:extLst>
            <a:ext uri="{FF2B5EF4-FFF2-40B4-BE49-F238E27FC236}">
              <a16:creationId xmlns:a16="http://schemas.microsoft.com/office/drawing/2014/main" id="{93DEA249-D485-4600-82C1-0456A36C3D56}"/>
            </a:ext>
          </a:extLst>
        </xdr:cNvPr>
        <xdr:cNvSpPr>
          <a:spLocks noChangeArrowheads="1"/>
        </xdr:cNvSpPr>
      </xdr:nvSpPr>
      <xdr:spPr bwMode="auto">
        <a:xfrm>
          <a:off x="114300" y="26025101"/>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212</xdr:row>
      <xdr:rowOff>228600</xdr:rowOff>
    </xdr:from>
    <xdr:to>
      <xdr:col>0</xdr:col>
      <xdr:colOff>847725</xdr:colOff>
      <xdr:row>212</xdr:row>
      <xdr:rowOff>495300</xdr:rowOff>
    </xdr:to>
    <xdr:sp macro="" textlink="">
      <xdr:nvSpPr>
        <xdr:cNvPr id="23" name="CaixaDeTexto 9">
          <a:extLst>
            <a:ext uri="{FF2B5EF4-FFF2-40B4-BE49-F238E27FC236}">
              <a16:creationId xmlns:a16="http://schemas.microsoft.com/office/drawing/2014/main" id="{19941C69-F8BA-460F-96D5-F29A734C7235}"/>
            </a:ext>
          </a:extLst>
        </xdr:cNvPr>
        <xdr:cNvSpPr>
          <a:spLocks noChangeArrowheads="1"/>
        </xdr:cNvSpPr>
      </xdr:nvSpPr>
      <xdr:spPr bwMode="auto">
        <a:xfrm>
          <a:off x="828675" y="26025101"/>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238</xdr:row>
      <xdr:rowOff>228600</xdr:rowOff>
    </xdr:from>
    <xdr:to>
      <xdr:col>0</xdr:col>
      <xdr:colOff>285750</xdr:colOff>
      <xdr:row>238</xdr:row>
      <xdr:rowOff>495300</xdr:rowOff>
    </xdr:to>
    <xdr:sp macro="" textlink="">
      <xdr:nvSpPr>
        <xdr:cNvPr id="24" name="CaixaDeTexto 2">
          <a:extLst>
            <a:ext uri="{FF2B5EF4-FFF2-40B4-BE49-F238E27FC236}">
              <a16:creationId xmlns:a16="http://schemas.microsoft.com/office/drawing/2014/main" id="{EE8979B6-8F64-43FA-8BB3-B204C9F7EF43}"/>
            </a:ext>
          </a:extLst>
        </xdr:cNvPr>
        <xdr:cNvSpPr>
          <a:spLocks noChangeArrowheads="1"/>
        </xdr:cNvSpPr>
      </xdr:nvSpPr>
      <xdr:spPr bwMode="auto">
        <a:xfrm>
          <a:off x="114300" y="30126454"/>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238</xdr:row>
      <xdr:rowOff>228600</xdr:rowOff>
    </xdr:from>
    <xdr:to>
      <xdr:col>0</xdr:col>
      <xdr:colOff>847725</xdr:colOff>
      <xdr:row>238</xdr:row>
      <xdr:rowOff>495300</xdr:rowOff>
    </xdr:to>
    <xdr:sp macro="" textlink="">
      <xdr:nvSpPr>
        <xdr:cNvPr id="25" name="CaixaDeTexto 9">
          <a:extLst>
            <a:ext uri="{FF2B5EF4-FFF2-40B4-BE49-F238E27FC236}">
              <a16:creationId xmlns:a16="http://schemas.microsoft.com/office/drawing/2014/main" id="{4700BF2D-6E88-444F-916A-18BB52EC071C}"/>
            </a:ext>
          </a:extLst>
        </xdr:cNvPr>
        <xdr:cNvSpPr>
          <a:spLocks noChangeArrowheads="1"/>
        </xdr:cNvSpPr>
      </xdr:nvSpPr>
      <xdr:spPr bwMode="auto">
        <a:xfrm>
          <a:off x="828675" y="30126454"/>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4</xdr:row>
      <xdr:rowOff>228600</xdr:rowOff>
    </xdr:from>
    <xdr:to>
      <xdr:col>0</xdr:col>
      <xdr:colOff>847725</xdr:colOff>
      <xdr:row>4</xdr:row>
      <xdr:rowOff>495300</xdr:rowOff>
    </xdr:to>
    <xdr:sp macro="" textlink="">
      <xdr:nvSpPr>
        <xdr:cNvPr id="33" name="CaixaDeTexto 9">
          <a:extLst>
            <a:ext uri="{FF2B5EF4-FFF2-40B4-BE49-F238E27FC236}">
              <a16:creationId xmlns:a16="http://schemas.microsoft.com/office/drawing/2014/main" id="{C3A2FEBF-38B2-4E25-B2AA-4BB526CE9F7C}"/>
            </a:ext>
          </a:extLst>
        </xdr:cNvPr>
        <xdr:cNvSpPr>
          <a:spLocks noChangeArrowheads="1"/>
        </xdr:cNvSpPr>
      </xdr:nvSpPr>
      <xdr:spPr bwMode="auto">
        <a:xfrm>
          <a:off x="828675" y="8319247"/>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4</xdr:row>
      <xdr:rowOff>228600</xdr:rowOff>
    </xdr:from>
    <xdr:to>
      <xdr:col>0</xdr:col>
      <xdr:colOff>847725</xdr:colOff>
      <xdr:row>4</xdr:row>
      <xdr:rowOff>495300</xdr:rowOff>
    </xdr:to>
    <xdr:sp macro="" textlink="">
      <xdr:nvSpPr>
        <xdr:cNvPr id="34" name="CaixaDeTexto 9">
          <a:extLst>
            <a:ext uri="{FF2B5EF4-FFF2-40B4-BE49-F238E27FC236}">
              <a16:creationId xmlns:a16="http://schemas.microsoft.com/office/drawing/2014/main" id="{D2C4A3E1-594E-46C5-B374-292025C2F201}"/>
            </a:ext>
          </a:extLst>
        </xdr:cNvPr>
        <xdr:cNvSpPr>
          <a:spLocks noChangeArrowheads="1"/>
        </xdr:cNvSpPr>
      </xdr:nvSpPr>
      <xdr:spPr bwMode="auto">
        <a:xfrm>
          <a:off x="828675" y="1057275"/>
          <a:ext cx="0" cy="1047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1809750</xdr:colOff>
      <xdr:row>30</xdr:row>
      <xdr:rowOff>228600</xdr:rowOff>
    </xdr:from>
    <xdr:to>
      <xdr:col>0</xdr:col>
      <xdr:colOff>847725</xdr:colOff>
      <xdr:row>30</xdr:row>
      <xdr:rowOff>495300</xdr:rowOff>
    </xdr:to>
    <xdr:sp macro="" textlink="">
      <xdr:nvSpPr>
        <xdr:cNvPr id="35" name="CaixaDeTexto 9">
          <a:extLst>
            <a:ext uri="{FF2B5EF4-FFF2-40B4-BE49-F238E27FC236}">
              <a16:creationId xmlns:a16="http://schemas.microsoft.com/office/drawing/2014/main" id="{FB2B49DA-F75C-4E72-B42F-4AA94EDBB0BC}"/>
            </a:ext>
          </a:extLst>
        </xdr:cNvPr>
        <xdr:cNvSpPr>
          <a:spLocks noChangeArrowheads="1"/>
        </xdr:cNvSpPr>
      </xdr:nvSpPr>
      <xdr:spPr bwMode="auto">
        <a:xfrm>
          <a:off x="828675" y="1169894"/>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30</xdr:row>
      <xdr:rowOff>228600</xdr:rowOff>
    </xdr:from>
    <xdr:to>
      <xdr:col>0</xdr:col>
      <xdr:colOff>847725</xdr:colOff>
      <xdr:row>30</xdr:row>
      <xdr:rowOff>495300</xdr:rowOff>
    </xdr:to>
    <xdr:sp macro="" textlink="">
      <xdr:nvSpPr>
        <xdr:cNvPr id="36" name="CaixaDeTexto 9">
          <a:extLst>
            <a:ext uri="{FF2B5EF4-FFF2-40B4-BE49-F238E27FC236}">
              <a16:creationId xmlns:a16="http://schemas.microsoft.com/office/drawing/2014/main" id="{292B0A1B-7AF7-41B6-BAEE-08063E332DD1}"/>
            </a:ext>
          </a:extLst>
        </xdr:cNvPr>
        <xdr:cNvSpPr>
          <a:spLocks noChangeArrowheads="1"/>
        </xdr:cNvSpPr>
      </xdr:nvSpPr>
      <xdr:spPr bwMode="auto">
        <a:xfrm>
          <a:off x="828675" y="1169894"/>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1809750</xdr:colOff>
      <xdr:row>56</xdr:row>
      <xdr:rowOff>228600</xdr:rowOff>
    </xdr:from>
    <xdr:to>
      <xdr:col>0</xdr:col>
      <xdr:colOff>847725</xdr:colOff>
      <xdr:row>56</xdr:row>
      <xdr:rowOff>495300</xdr:rowOff>
    </xdr:to>
    <xdr:sp macro="" textlink="">
      <xdr:nvSpPr>
        <xdr:cNvPr id="37" name="CaixaDeTexto 9">
          <a:extLst>
            <a:ext uri="{FF2B5EF4-FFF2-40B4-BE49-F238E27FC236}">
              <a16:creationId xmlns:a16="http://schemas.microsoft.com/office/drawing/2014/main" id="{27251A9C-0A4C-42FD-A27E-227EDC22EB67}"/>
            </a:ext>
          </a:extLst>
        </xdr:cNvPr>
        <xdr:cNvSpPr>
          <a:spLocks noChangeArrowheads="1"/>
        </xdr:cNvSpPr>
      </xdr:nvSpPr>
      <xdr:spPr bwMode="auto">
        <a:xfrm>
          <a:off x="828675" y="1169894"/>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56</xdr:row>
      <xdr:rowOff>228600</xdr:rowOff>
    </xdr:from>
    <xdr:to>
      <xdr:col>0</xdr:col>
      <xdr:colOff>847725</xdr:colOff>
      <xdr:row>56</xdr:row>
      <xdr:rowOff>495300</xdr:rowOff>
    </xdr:to>
    <xdr:sp macro="" textlink="">
      <xdr:nvSpPr>
        <xdr:cNvPr id="38" name="CaixaDeTexto 9">
          <a:extLst>
            <a:ext uri="{FF2B5EF4-FFF2-40B4-BE49-F238E27FC236}">
              <a16:creationId xmlns:a16="http://schemas.microsoft.com/office/drawing/2014/main" id="{CCD957F7-C0A8-44AC-9630-0E3ABD6C5F59}"/>
            </a:ext>
          </a:extLst>
        </xdr:cNvPr>
        <xdr:cNvSpPr>
          <a:spLocks noChangeArrowheads="1"/>
        </xdr:cNvSpPr>
      </xdr:nvSpPr>
      <xdr:spPr bwMode="auto">
        <a:xfrm>
          <a:off x="828675" y="1169894"/>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1809750</xdr:colOff>
      <xdr:row>82</xdr:row>
      <xdr:rowOff>228600</xdr:rowOff>
    </xdr:from>
    <xdr:to>
      <xdr:col>0</xdr:col>
      <xdr:colOff>847725</xdr:colOff>
      <xdr:row>82</xdr:row>
      <xdr:rowOff>495300</xdr:rowOff>
    </xdr:to>
    <xdr:sp macro="" textlink="">
      <xdr:nvSpPr>
        <xdr:cNvPr id="39" name="CaixaDeTexto 9">
          <a:extLst>
            <a:ext uri="{FF2B5EF4-FFF2-40B4-BE49-F238E27FC236}">
              <a16:creationId xmlns:a16="http://schemas.microsoft.com/office/drawing/2014/main" id="{0F6C2A2F-AB85-43D1-9431-FFCD358AF9AE}"/>
            </a:ext>
          </a:extLst>
        </xdr:cNvPr>
        <xdr:cNvSpPr>
          <a:spLocks noChangeArrowheads="1"/>
        </xdr:cNvSpPr>
      </xdr:nvSpPr>
      <xdr:spPr bwMode="auto">
        <a:xfrm>
          <a:off x="828675" y="1169894"/>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82</xdr:row>
      <xdr:rowOff>228600</xdr:rowOff>
    </xdr:from>
    <xdr:to>
      <xdr:col>0</xdr:col>
      <xdr:colOff>847725</xdr:colOff>
      <xdr:row>82</xdr:row>
      <xdr:rowOff>495300</xdr:rowOff>
    </xdr:to>
    <xdr:sp macro="" textlink="">
      <xdr:nvSpPr>
        <xdr:cNvPr id="40" name="CaixaDeTexto 9">
          <a:extLst>
            <a:ext uri="{FF2B5EF4-FFF2-40B4-BE49-F238E27FC236}">
              <a16:creationId xmlns:a16="http://schemas.microsoft.com/office/drawing/2014/main" id="{05826C93-1170-414A-88A7-33C1EE64B461}"/>
            </a:ext>
          </a:extLst>
        </xdr:cNvPr>
        <xdr:cNvSpPr>
          <a:spLocks noChangeArrowheads="1"/>
        </xdr:cNvSpPr>
      </xdr:nvSpPr>
      <xdr:spPr bwMode="auto">
        <a:xfrm>
          <a:off x="828675" y="1169894"/>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1809750</xdr:colOff>
      <xdr:row>108</xdr:row>
      <xdr:rowOff>228600</xdr:rowOff>
    </xdr:from>
    <xdr:to>
      <xdr:col>0</xdr:col>
      <xdr:colOff>847725</xdr:colOff>
      <xdr:row>108</xdr:row>
      <xdr:rowOff>495300</xdr:rowOff>
    </xdr:to>
    <xdr:sp macro="" textlink="">
      <xdr:nvSpPr>
        <xdr:cNvPr id="41" name="CaixaDeTexto 9">
          <a:extLst>
            <a:ext uri="{FF2B5EF4-FFF2-40B4-BE49-F238E27FC236}">
              <a16:creationId xmlns:a16="http://schemas.microsoft.com/office/drawing/2014/main" id="{2F2AC337-EBA7-4CDB-B35E-8ACAB3ABB041}"/>
            </a:ext>
          </a:extLst>
        </xdr:cNvPr>
        <xdr:cNvSpPr>
          <a:spLocks noChangeArrowheads="1"/>
        </xdr:cNvSpPr>
      </xdr:nvSpPr>
      <xdr:spPr bwMode="auto">
        <a:xfrm>
          <a:off x="828675" y="1169894"/>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108</xdr:row>
      <xdr:rowOff>228600</xdr:rowOff>
    </xdr:from>
    <xdr:to>
      <xdr:col>0</xdr:col>
      <xdr:colOff>847725</xdr:colOff>
      <xdr:row>108</xdr:row>
      <xdr:rowOff>495300</xdr:rowOff>
    </xdr:to>
    <xdr:sp macro="" textlink="">
      <xdr:nvSpPr>
        <xdr:cNvPr id="42" name="CaixaDeTexto 9">
          <a:extLst>
            <a:ext uri="{FF2B5EF4-FFF2-40B4-BE49-F238E27FC236}">
              <a16:creationId xmlns:a16="http://schemas.microsoft.com/office/drawing/2014/main" id="{FCB19674-4FAA-491B-B258-C4A53ED0C7EC}"/>
            </a:ext>
          </a:extLst>
        </xdr:cNvPr>
        <xdr:cNvSpPr>
          <a:spLocks noChangeArrowheads="1"/>
        </xdr:cNvSpPr>
      </xdr:nvSpPr>
      <xdr:spPr bwMode="auto">
        <a:xfrm>
          <a:off x="828675" y="1169894"/>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1809750</xdr:colOff>
      <xdr:row>134</xdr:row>
      <xdr:rowOff>228600</xdr:rowOff>
    </xdr:from>
    <xdr:to>
      <xdr:col>0</xdr:col>
      <xdr:colOff>847725</xdr:colOff>
      <xdr:row>134</xdr:row>
      <xdr:rowOff>495300</xdr:rowOff>
    </xdr:to>
    <xdr:sp macro="" textlink="">
      <xdr:nvSpPr>
        <xdr:cNvPr id="43" name="CaixaDeTexto 9">
          <a:extLst>
            <a:ext uri="{FF2B5EF4-FFF2-40B4-BE49-F238E27FC236}">
              <a16:creationId xmlns:a16="http://schemas.microsoft.com/office/drawing/2014/main" id="{635D8CF9-0C97-41CD-9855-86D00138A52A}"/>
            </a:ext>
          </a:extLst>
        </xdr:cNvPr>
        <xdr:cNvSpPr>
          <a:spLocks noChangeArrowheads="1"/>
        </xdr:cNvSpPr>
      </xdr:nvSpPr>
      <xdr:spPr bwMode="auto">
        <a:xfrm>
          <a:off x="828675" y="1169894"/>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134</xdr:row>
      <xdr:rowOff>228600</xdr:rowOff>
    </xdr:from>
    <xdr:to>
      <xdr:col>0</xdr:col>
      <xdr:colOff>847725</xdr:colOff>
      <xdr:row>134</xdr:row>
      <xdr:rowOff>495300</xdr:rowOff>
    </xdr:to>
    <xdr:sp macro="" textlink="">
      <xdr:nvSpPr>
        <xdr:cNvPr id="44" name="CaixaDeTexto 9">
          <a:extLst>
            <a:ext uri="{FF2B5EF4-FFF2-40B4-BE49-F238E27FC236}">
              <a16:creationId xmlns:a16="http://schemas.microsoft.com/office/drawing/2014/main" id="{2857C222-01C0-4444-B0EE-A92C92A2CB48}"/>
            </a:ext>
          </a:extLst>
        </xdr:cNvPr>
        <xdr:cNvSpPr>
          <a:spLocks noChangeArrowheads="1"/>
        </xdr:cNvSpPr>
      </xdr:nvSpPr>
      <xdr:spPr bwMode="auto">
        <a:xfrm>
          <a:off x="828675" y="1169894"/>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1809750</xdr:colOff>
      <xdr:row>160</xdr:row>
      <xdr:rowOff>228600</xdr:rowOff>
    </xdr:from>
    <xdr:to>
      <xdr:col>0</xdr:col>
      <xdr:colOff>847725</xdr:colOff>
      <xdr:row>160</xdr:row>
      <xdr:rowOff>495300</xdr:rowOff>
    </xdr:to>
    <xdr:sp macro="" textlink="">
      <xdr:nvSpPr>
        <xdr:cNvPr id="45" name="CaixaDeTexto 9">
          <a:extLst>
            <a:ext uri="{FF2B5EF4-FFF2-40B4-BE49-F238E27FC236}">
              <a16:creationId xmlns:a16="http://schemas.microsoft.com/office/drawing/2014/main" id="{C566A4AE-4291-4943-B5CF-200B6FD811A0}"/>
            </a:ext>
          </a:extLst>
        </xdr:cNvPr>
        <xdr:cNvSpPr>
          <a:spLocks noChangeArrowheads="1"/>
        </xdr:cNvSpPr>
      </xdr:nvSpPr>
      <xdr:spPr bwMode="auto">
        <a:xfrm>
          <a:off x="828675" y="1169894"/>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160</xdr:row>
      <xdr:rowOff>228600</xdr:rowOff>
    </xdr:from>
    <xdr:to>
      <xdr:col>0</xdr:col>
      <xdr:colOff>847725</xdr:colOff>
      <xdr:row>160</xdr:row>
      <xdr:rowOff>495300</xdr:rowOff>
    </xdr:to>
    <xdr:sp macro="" textlink="">
      <xdr:nvSpPr>
        <xdr:cNvPr id="46" name="CaixaDeTexto 9">
          <a:extLst>
            <a:ext uri="{FF2B5EF4-FFF2-40B4-BE49-F238E27FC236}">
              <a16:creationId xmlns:a16="http://schemas.microsoft.com/office/drawing/2014/main" id="{7A1ACE70-698D-4D37-AAEE-6D098752AF8F}"/>
            </a:ext>
          </a:extLst>
        </xdr:cNvPr>
        <xdr:cNvSpPr>
          <a:spLocks noChangeArrowheads="1"/>
        </xdr:cNvSpPr>
      </xdr:nvSpPr>
      <xdr:spPr bwMode="auto">
        <a:xfrm>
          <a:off x="828675" y="1169894"/>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1809750</xdr:colOff>
      <xdr:row>186</xdr:row>
      <xdr:rowOff>228600</xdr:rowOff>
    </xdr:from>
    <xdr:to>
      <xdr:col>0</xdr:col>
      <xdr:colOff>847725</xdr:colOff>
      <xdr:row>186</xdr:row>
      <xdr:rowOff>495300</xdr:rowOff>
    </xdr:to>
    <xdr:sp macro="" textlink="">
      <xdr:nvSpPr>
        <xdr:cNvPr id="47" name="CaixaDeTexto 9">
          <a:extLst>
            <a:ext uri="{FF2B5EF4-FFF2-40B4-BE49-F238E27FC236}">
              <a16:creationId xmlns:a16="http://schemas.microsoft.com/office/drawing/2014/main" id="{A43AC832-C26A-43AE-A5A4-70949B2FFDC1}"/>
            </a:ext>
          </a:extLst>
        </xdr:cNvPr>
        <xdr:cNvSpPr>
          <a:spLocks noChangeArrowheads="1"/>
        </xdr:cNvSpPr>
      </xdr:nvSpPr>
      <xdr:spPr bwMode="auto">
        <a:xfrm>
          <a:off x="828675" y="1169894"/>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186</xdr:row>
      <xdr:rowOff>228600</xdr:rowOff>
    </xdr:from>
    <xdr:to>
      <xdr:col>0</xdr:col>
      <xdr:colOff>847725</xdr:colOff>
      <xdr:row>186</xdr:row>
      <xdr:rowOff>495300</xdr:rowOff>
    </xdr:to>
    <xdr:sp macro="" textlink="">
      <xdr:nvSpPr>
        <xdr:cNvPr id="48" name="CaixaDeTexto 9">
          <a:extLst>
            <a:ext uri="{FF2B5EF4-FFF2-40B4-BE49-F238E27FC236}">
              <a16:creationId xmlns:a16="http://schemas.microsoft.com/office/drawing/2014/main" id="{AF87EDAA-3B63-4054-8D5E-BECD5CA96757}"/>
            </a:ext>
          </a:extLst>
        </xdr:cNvPr>
        <xdr:cNvSpPr>
          <a:spLocks noChangeArrowheads="1"/>
        </xdr:cNvSpPr>
      </xdr:nvSpPr>
      <xdr:spPr bwMode="auto">
        <a:xfrm>
          <a:off x="828675" y="1169894"/>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1809750</xdr:colOff>
      <xdr:row>212</xdr:row>
      <xdr:rowOff>228600</xdr:rowOff>
    </xdr:from>
    <xdr:to>
      <xdr:col>0</xdr:col>
      <xdr:colOff>847725</xdr:colOff>
      <xdr:row>212</xdr:row>
      <xdr:rowOff>495300</xdr:rowOff>
    </xdr:to>
    <xdr:sp macro="" textlink="">
      <xdr:nvSpPr>
        <xdr:cNvPr id="49" name="CaixaDeTexto 9">
          <a:extLst>
            <a:ext uri="{FF2B5EF4-FFF2-40B4-BE49-F238E27FC236}">
              <a16:creationId xmlns:a16="http://schemas.microsoft.com/office/drawing/2014/main" id="{E7752CE2-AD2E-4384-BA1D-4F19BF2BA9B9}"/>
            </a:ext>
          </a:extLst>
        </xdr:cNvPr>
        <xdr:cNvSpPr>
          <a:spLocks noChangeArrowheads="1"/>
        </xdr:cNvSpPr>
      </xdr:nvSpPr>
      <xdr:spPr bwMode="auto">
        <a:xfrm>
          <a:off x="828675" y="1169894"/>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212</xdr:row>
      <xdr:rowOff>228600</xdr:rowOff>
    </xdr:from>
    <xdr:to>
      <xdr:col>0</xdr:col>
      <xdr:colOff>847725</xdr:colOff>
      <xdr:row>212</xdr:row>
      <xdr:rowOff>495300</xdr:rowOff>
    </xdr:to>
    <xdr:sp macro="" textlink="">
      <xdr:nvSpPr>
        <xdr:cNvPr id="50" name="CaixaDeTexto 9">
          <a:extLst>
            <a:ext uri="{FF2B5EF4-FFF2-40B4-BE49-F238E27FC236}">
              <a16:creationId xmlns:a16="http://schemas.microsoft.com/office/drawing/2014/main" id="{2B6D9997-256A-4D87-AFFD-6805B871368E}"/>
            </a:ext>
          </a:extLst>
        </xdr:cNvPr>
        <xdr:cNvSpPr>
          <a:spLocks noChangeArrowheads="1"/>
        </xdr:cNvSpPr>
      </xdr:nvSpPr>
      <xdr:spPr bwMode="auto">
        <a:xfrm>
          <a:off x="828675" y="1169894"/>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1809750</xdr:colOff>
      <xdr:row>238</xdr:row>
      <xdr:rowOff>228600</xdr:rowOff>
    </xdr:from>
    <xdr:to>
      <xdr:col>0</xdr:col>
      <xdr:colOff>847725</xdr:colOff>
      <xdr:row>238</xdr:row>
      <xdr:rowOff>495300</xdr:rowOff>
    </xdr:to>
    <xdr:sp macro="" textlink="">
      <xdr:nvSpPr>
        <xdr:cNvPr id="51" name="CaixaDeTexto 9">
          <a:extLst>
            <a:ext uri="{FF2B5EF4-FFF2-40B4-BE49-F238E27FC236}">
              <a16:creationId xmlns:a16="http://schemas.microsoft.com/office/drawing/2014/main" id="{F7D335A9-A898-4C8B-A5E6-1C30B38F8931}"/>
            </a:ext>
          </a:extLst>
        </xdr:cNvPr>
        <xdr:cNvSpPr>
          <a:spLocks noChangeArrowheads="1"/>
        </xdr:cNvSpPr>
      </xdr:nvSpPr>
      <xdr:spPr bwMode="auto">
        <a:xfrm>
          <a:off x="828675" y="1169894"/>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238</xdr:row>
      <xdr:rowOff>228600</xdr:rowOff>
    </xdr:from>
    <xdr:to>
      <xdr:col>0</xdr:col>
      <xdr:colOff>847725</xdr:colOff>
      <xdr:row>238</xdr:row>
      <xdr:rowOff>495300</xdr:rowOff>
    </xdr:to>
    <xdr:sp macro="" textlink="">
      <xdr:nvSpPr>
        <xdr:cNvPr id="52" name="CaixaDeTexto 9">
          <a:extLst>
            <a:ext uri="{FF2B5EF4-FFF2-40B4-BE49-F238E27FC236}">
              <a16:creationId xmlns:a16="http://schemas.microsoft.com/office/drawing/2014/main" id="{38BBC505-D583-44DA-981F-5E3CEA8DF368}"/>
            </a:ext>
          </a:extLst>
        </xdr:cNvPr>
        <xdr:cNvSpPr>
          <a:spLocks noChangeArrowheads="1"/>
        </xdr:cNvSpPr>
      </xdr:nvSpPr>
      <xdr:spPr bwMode="auto">
        <a:xfrm>
          <a:off x="828675" y="1169894"/>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114300</xdr:colOff>
      <xdr:row>4</xdr:row>
      <xdr:rowOff>228600</xdr:rowOff>
    </xdr:from>
    <xdr:to>
      <xdr:col>0</xdr:col>
      <xdr:colOff>285750</xdr:colOff>
      <xdr:row>4</xdr:row>
      <xdr:rowOff>495300</xdr:rowOff>
    </xdr:to>
    <xdr:sp macro="" textlink="">
      <xdr:nvSpPr>
        <xdr:cNvPr id="6" name="CaixaDeTexto 2">
          <a:extLst>
            <a:ext uri="{FF2B5EF4-FFF2-40B4-BE49-F238E27FC236}">
              <a16:creationId xmlns:a16="http://schemas.microsoft.com/office/drawing/2014/main" id="{671C5D48-5109-4004-BC7D-803134374E07}"/>
            </a:ext>
          </a:extLst>
        </xdr:cNvPr>
        <xdr:cNvSpPr>
          <a:spLocks noChangeArrowheads="1"/>
        </xdr:cNvSpPr>
      </xdr:nvSpPr>
      <xdr:spPr bwMode="auto">
        <a:xfrm>
          <a:off x="114300" y="13535025"/>
          <a:ext cx="1714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4</xdr:row>
      <xdr:rowOff>228600</xdr:rowOff>
    </xdr:from>
    <xdr:to>
      <xdr:col>0</xdr:col>
      <xdr:colOff>847725</xdr:colOff>
      <xdr:row>4</xdr:row>
      <xdr:rowOff>495300</xdr:rowOff>
    </xdr:to>
    <xdr:sp macro="" textlink="">
      <xdr:nvSpPr>
        <xdr:cNvPr id="7" name="CaixaDeTexto 9">
          <a:extLst>
            <a:ext uri="{FF2B5EF4-FFF2-40B4-BE49-F238E27FC236}">
              <a16:creationId xmlns:a16="http://schemas.microsoft.com/office/drawing/2014/main" id="{91E527AA-AD2D-48E0-B6AC-5ED377A59D5B}"/>
            </a:ext>
          </a:extLst>
        </xdr:cNvPr>
        <xdr:cNvSpPr>
          <a:spLocks noChangeArrowheads="1"/>
        </xdr:cNvSpPr>
      </xdr:nvSpPr>
      <xdr:spPr bwMode="auto">
        <a:xfrm>
          <a:off x="828675" y="13535025"/>
          <a:ext cx="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4</xdr:row>
      <xdr:rowOff>228600</xdr:rowOff>
    </xdr:from>
    <xdr:to>
      <xdr:col>0</xdr:col>
      <xdr:colOff>847725</xdr:colOff>
      <xdr:row>4</xdr:row>
      <xdr:rowOff>495300</xdr:rowOff>
    </xdr:to>
    <xdr:sp macro="" textlink="">
      <xdr:nvSpPr>
        <xdr:cNvPr id="10" name="CaixaDeTexto 9">
          <a:extLst>
            <a:ext uri="{FF2B5EF4-FFF2-40B4-BE49-F238E27FC236}">
              <a16:creationId xmlns:a16="http://schemas.microsoft.com/office/drawing/2014/main" id="{DC050293-5196-4AFC-8803-D4BEC9D7003F}"/>
            </a:ext>
          </a:extLst>
        </xdr:cNvPr>
        <xdr:cNvSpPr>
          <a:spLocks noChangeArrowheads="1"/>
        </xdr:cNvSpPr>
      </xdr:nvSpPr>
      <xdr:spPr bwMode="auto">
        <a:xfrm>
          <a:off x="828675" y="1171575"/>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4</xdr:row>
      <xdr:rowOff>228600</xdr:rowOff>
    </xdr:from>
    <xdr:to>
      <xdr:col>0</xdr:col>
      <xdr:colOff>847725</xdr:colOff>
      <xdr:row>4</xdr:row>
      <xdr:rowOff>495300</xdr:rowOff>
    </xdr:to>
    <xdr:sp macro="" textlink="">
      <xdr:nvSpPr>
        <xdr:cNvPr id="11" name="CaixaDeTexto 9">
          <a:extLst>
            <a:ext uri="{FF2B5EF4-FFF2-40B4-BE49-F238E27FC236}">
              <a16:creationId xmlns:a16="http://schemas.microsoft.com/office/drawing/2014/main" id="{3D50B306-147E-4A06-8A58-959521901985}"/>
            </a:ext>
          </a:extLst>
        </xdr:cNvPr>
        <xdr:cNvSpPr>
          <a:spLocks noChangeArrowheads="1"/>
        </xdr:cNvSpPr>
      </xdr:nvSpPr>
      <xdr:spPr bwMode="auto">
        <a:xfrm>
          <a:off x="828675" y="1171575"/>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114300</xdr:colOff>
      <xdr:row>30</xdr:row>
      <xdr:rowOff>228600</xdr:rowOff>
    </xdr:from>
    <xdr:to>
      <xdr:col>0</xdr:col>
      <xdr:colOff>285750</xdr:colOff>
      <xdr:row>30</xdr:row>
      <xdr:rowOff>495300</xdr:rowOff>
    </xdr:to>
    <xdr:sp macro="" textlink="">
      <xdr:nvSpPr>
        <xdr:cNvPr id="12" name="CaixaDeTexto 2">
          <a:extLst>
            <a:ext uri="{FF2B5EF4-FFF2-40B4-BE49-F238E27FC236}">
              <a16:creationId xmlns:a16="http://schemas.microsoft.com/office/drawing/2014/main" id="{0AFDEAA8-793F-49CE-AE3E-F1B2F3F10450}"/>
            </a:ext>
          </a:extLst>
        </xdr:cNvPr>
        <xdr:cNvSpPr>
          <a:spLocks noChangeArrowheads="1"/>
        </xdr:cNvSpPr>
      </xdr:nvSpPr>
      <xdr:spPr bwMode="auto">
        <a:xfrm>
          <a:off x="114300" y="1169894"/>
          <a:ext cx="1714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30</xdr:row>
      <xdr:rowOff>228600</xdr:rowOff>
    </xdr:from>
    <xdr:to>
      <xdr:col>0</xdr:col>
      <xdr:colOff>847725</xdr:colOff>
      <xdr:row>30</xdr:row>
      <xdr:rowOff>495300</xdr:rowOff>
    </xdr:to>
    <xdr:sp macro="" textlink="">
      <xdr:nvSpPr>
        <xdr:cNvPr id="13" name="CaixaDeTexto 9">
          <a:extLst>
            <a:ext uri="{FF2B5EF4-FFF2-40B4-BE49-F238E27FC236}">
              <a16:creationId xmlns:a16="http://schemas.microsoft.com/office/drawing/2014/main" id="{432F5441-98CE-4376-B0A7-01FC35B6FEC0}"/>
            </a:ext>
          </a:extLst>
        </xdr:cNvPr>
        <xdr:cNvSpPr>
          <a:spLocks noChangeArrowheads="1"/>
        </xdr:cNvSpPr>
      </xdr:nvSpPr>
      <xdr:spPr bwMode="auto">
        <a:xfrm>
          <a:off x="828675" y="1169894"/>
          <a:ext cx="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30</xdr:row>
      <xdr:rowOff>228600</xdr:rowOff>
    </xdr:from>
    <xdr:to>
      <xdr:col>0</xdr:col>
      <xdr:colOff>847725</xdr:colOff>
      <xdr:row>30</xdr:row>
      <xdr:rowOff>495300</xdr:rowOff>
    </xdr:to>
    <xdr:sp macro="" textlink="">
      <xdr:nvSpPr>
        <xdr:cNvPr id="14" name="CaixaDeTexto 9">
          <a:extLst>
            <a:ext uri="{FF2B5EF4-FFF2-40B4-BE49-F238E27FC236}">
              <a16:creationId xmlns:a16="http://schemas.microsoft.com/office/drawing/2014/main" id="{A2D86D0D-48B2-4AFF-95EB-0A008F9AFBC8}"/>
            </a:ext>
          </a:extLst>
        </xdr:cNvPr>
        <xdr:cNvSpPr>
          <a:spLocks noChangeArrowheads="1"/>
        </xdr:cNvSpPr>
      </xdr:nvSpPr>
      <xdr:spPr bwMode="auto">
        <a:xfrm>
          <a:off x="828675" y="1169894"/>
          <a:ext cx="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30</xdr:row>
      <xdr:rowOff>228600</xdr:rowOff>
    </xdr:from>
    <xdr:to>
      <xdr:col>0</xdr:col>
      <xdr:colOff>847725</xdr:colOff>
      <xdr:row>30</xdr:row>
      <xdr:rowOff>495300</xdr:rowOff>
    </xdr:to>
    <xdr:sp macro="" textlink="">
      <xdr:nvSpPr>
        <xdr:cNvPr id="15" name="CaixaDeTexto 9">
          <a:extLst>
            <a:ext uri="{FF2B5EF4-FFF2-40B4-BE49-F238E27FC236}">
              <a16:creationId xmlns:a16="http://schemas.microsoft.com/office/drawing/2014/main" id="{6898FADB-6947-460B-AD93-68D11E14D03A}"/>
            </a:ext>
          </a:extLst>
        </xdr:cNvPr>
        <xdr:cNvSpPr>
          <a:spLocks noChangeArrowheads="1"/>
        </xdr:cNvSpPr>
      </xdr:nvSpPr>
      <xdr:spPr bwMode="auto">
        <a:xfrm>
          <a:off x="828675" y="1169894"/>
          <a:ext cx="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114300</xdr:colOff>
      <xdr:row>56</xdr:row>
      <xdr:rowOff>228600</xdr:rowOff>
    </xdr:from>
    <xdr:to>
      <xdr:col>0</xdr:col>
      <xdr:colOff>285750</xdr:colOff>
      <xdr:row>56</xdr:row>
      <xdr:rowOff>495300</xdr:rowOff>
    </xdr:to>
    <xdr:sp macro="" textlink="">
      <xdr:nvSpPr>
        <xdr:cNvPr id="16" name="CaixaDeTexto 2">
          <a:extLst>
            <a:ext uri="{FF2B5EF4-FFF2-40B4-BE49-F238E27FC236}">
              <a16:creationId xmlns:a16="http://schemas.microsoft.com/office/drawing/2014/main" id="{926DD045-5BA6-4C88-B997-C54E62E2EFD9}"/>
            </a:ext>
          </a:extLst>
        </xdr:cNvPr>
        <xdr:cNvSpPr>
          <a:spLocks noChangeArrowheads="1"/>
        </xdr:cNvSpPr>
      </xdr:nvSpPr>
      <xdr:spPr bwMode="auto">
        <a:xfrm>
          <a:off x="114300" y="5775512"/>
          <a:ext cx="17145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56</xdr:row>
      <xdr:rowOff>228600</xdr:rowOff>
    </xdr:from>
    <xdr:to>
      <xdr:col>0</xdr:col>
      <xdr:colOff>847725</xdr:colOff>
      <xdr:row>56</xdr:row>
      <xdr:rowOff>495300</xdr:rowOff>
    </xdr:to>
    <xdr:sp macro="" textlink="">
      <xdr:nvSpPr>
        <xdr:cNvPr id="17" name="CaixaDeTexto 9">
          <a:extLst>
            <a:ext uri="{FF2B5EF4-FFF2-40B4-BE49-F238E27FC236}">
              <a16:creationId xmlns:a16="http://schemas.microsoft.com/office/drawing/2014/main" id="{1C14EB2C-11F0-494F-BF46-5FCE370561E5}"/>
            </a:ext>
          </a:extLst>
        </xdr:cNvPr>
        <xdr:cNvSpPr>
          <a:spLocks noChangeArrowheads="1"/>
        </xdr:cNvSpPr>
      </xdr:nvSpPr>
      <xdr:spPr bwMode="auto">
        <a:xfrm>
          <a:off x="828675" y="5775512"/>
          <a:ext cx="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56</xdr:row>
      <xdr:rowOff>228600</xdr:rowOff>
    </xdr:from>
    <xdr:to>
      <xdr:col>0</xdr:col>
      <xdr:colOff>847725</xdr:colOff>
      <xdr:row>56</xdr:row>
      <xdr:rowOff>495300</xdr:rowOff>
    </xdr:to>
    <xdr:sp macro="" textlink="">
      <xdr:nvSpPr>
        <xdr:cNvPr id="18" name="CaixaDeTexto 9">
          <a:extLst>
            <a:ext uri="{FF2B5EF4-FFF2-40B4-BE49-F238E27FC236}">
              <a16:creationId xmlns:a16="http://schemas.microsoft.com/office/drawing/2014/main" id="{50CA68B2-8B66-456F-9089-673054562D26}"/>
            </a:ext>
          </a:extLst>
        </xdr:cNvPr>
        <xdr:cNvSpPr>
          <a:spLocks noChangeArrowheads="1"/>
        </xdr:cNvSpPr>
      </xdr:nvSpPr>
      <xdr:spPr bwMode="auto">
        <a:xfrm>
          <a:off x="828675" y="5775512"/>
          <a:ext cx="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56</xdr:row>
      <xdr:rowOff>228600</xdr:rowOff>
    </xdr:from>
    <xdr:to>
      <xdr:col>0</xdr:col>
      <xdr:colOff>847725</xdr:colOff>
      <xdr:row>56</xdr:row>
      <xdr:rowOff>495300</xdr:rowOff>
    </xdr:to>
    <xdr:sp macro="" textlink="">
      <xdr:nvSpPr>
        <xdr:cNvPr id="19" name="CaixaDeTexto 9">
          <a:extLst>
            <a:ext uri="{FF2B5EF4-FFF2-40B4-BE49-F238E27FC236}">
              <a16:creationId xmlns:a16="http://schemas.microsoft.com/office/drawing/2014/main" id="{2E8E3488-87AC-4B0F-9A23-911EF7E00B98}"/>
            </a:ext>
          </a:extLst>
        </xdr:cNvPr>
        <xdr:cNvSpPr>
          <a:spLocks noChangeArrowheads="1"/>
        </xdr:cNvSpPr>
      </xdr:nvSpPr>
      <xdr:spPr bwMode="auto">
        <a:xfrm>
          <a:off x="828675" y="5775512"/>
          <a:ext cx="0" cy="1809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1809750</xdr:colOff>
      <xdr:row>82</xdr:row>
      <xdr:rowOff>228600</xdr:rowOff>
    </xdr:from>
    <xdr:to>
      <xdr:col>0</xdr:col>
      <xdr:colOff>847725</xdr:colOff>
      <xdr:row>82</xdr:row>
      <xdr:rowOff>495300</xdr:rowOff>
    </xdr:to>
    <xdr:sp macro="" textlink="">
      <xdr:nvSpPr>
        <xdr:cNvPr id="21" name="CaixaDeTexto 9">
          <a:extLst>
            <a:ext uri="{FF2B5EF4-FFF2-40B4-BE49-F238E27FC236}">
              <a16:creationId xmlns:a16="http://schemas.microsoft.com/office/drawing/2014/main" id="{6E01FAAA-E261-440E-9298-DB3D1DCA9A41}"/>
            </a:ext>
          </a:extLst>
        </xdr:cNvPr>
        <xdr:cNvSpPr>
          <a:spLocks noChangeArrowheads="1"/>
        </xdr:cNvSpPr>
      </xdr:nvSpPr>
      <xdr:spPr bwMode="auto">
        <a:xfrm>
          <a:off x="828675" y="10134600"/>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82</xdr:row>
      <xdr:rowOff>228600</xdr:rowOff>
    </xdr:from>
    <xdr:to>
      <xdr:col>0</xdr:col>
      <xdr:colOff>847725</xdr:colOff>
      <xdr:row>82</xdr:row>
      <xdr:rowOff>495300</xdr:rowOff>
    </xdr:to>
    <xdr:sp macro="" textlink="">
      <xdr:nvSpPr>
        <xdr:cNvPr id="22" name="CaixaDeTexto 9">
          <a:extLst>
            <a:ext uri="{FF2B5EF4-FFF2-40B4-BE49-F238E27FC236}">
              <a16:creationId xmlns:a16="http://schemas.microsoft.com/office/drawing/2014/main" id="{FFC31E2F-BE08-4854-9B83-E0F4148F3747}"/>
            </a:ext>
          </a:extLst>
        </xdr:cNvPr>
        <xdr:cNvSpPr>
          <a:spLocks noChangeArrowheads="1"/>
        </xdr:cNvSpPr>
      </xdr:nvSpPr>
      <xdr:spPr bwMode="auto">
        <a:xfrm>
          <a:off x="828675" y="10134600"/>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82</xdr:row>
      <xdr:rowOff>228600</xdr:rowOff>
    </xdr:from>
    <xdr:to>
      <xdr:col>0</xdr:col>
      <xdr:colOff>847725</xdr:colOff>
      <xdr:row>82</xdr:row>
      <xdr:rowOff>495300</xdr:rowOff>
    </xdr:to>
    <xdr:sp macro="" textlink="">
      <xdr:nvSpPr>
        <xdr:cNvPr id="23" name="CaixaDeTexto 9">
          <a:extLst>
            <a:ext uri="{FF2B5EF4-FFF2-40B4-BE49-F238E27FC236}">
              <a16:creationId xmlns:a16="http://schemas.microsoft.com/office/drawing/2014/main" id="{02644DE0-7F87-434F-9E2A-D2F8852F8A66}"/>
            </a:ext>
          </a:extLst>
        </xdr:cNvPr>
        <xdr:cNvSpPr>
          <a:spLocks noChangeArrowheads="1"/>
        </xdr:cNvSpPr>
      </xdr:nvSpPr>
      <xdr:spPr bwMode="auto">
        <a:xfrm>
          <a:off x="828675" y="10134600"/>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114300</xdr:colOff>
      <xdr:row>108</xdr:row>
      <xdr:rowOff>228600</xdr:rowOff>
    </xdr:from>
    <xdr:to>
      <xdr:col>0</xdr:col>
      <xdr:colOff>285750</xdr:colOff>
      <xdr:row>108</xdr:row>
      <xdr:rowOff>495300</xdr:rowOff>
    </xdr:to>
    <xdr:sp macro="" textlink="">
      <xdr:nvSpPr>
        <xdr:cNvPr id="24" name="CaixaDeTexto 2">
          <a:extLst>
            <a:ext uri="{FF2B5EF4-FFF2-40B4-BE49-F238E27FC236}">
              <a16:creationId xmlns:a16="http://schemas.microsoft.com/office/drawing/2014/main" id="{9E93B08B-FCD1-40EA-A1AF-446C0EB13926}"/>
            </a:ext>
          </a:extLst>
        </xdr:cNvPr>
        <xdr:cNvSpPr>
          <a:spLocks noChangeArrowheads="1"/>
        </xdr:cNvSpPr>
      </xdr:nvSpPr>
      <xdr:spPr bwMode="auto">
        <a:xfrm>
          <a:off x="114300" y="14448865"/>
          <a:ext cx="17145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108</xdr:row>
      <xdr:rowOff>228600</xdr:rowOff>
    </xdr:from>
    <xdr:to>
      <xdr:col>0</xdr:col>
      <xdr:colOff>847725</xdr:colOff>
      <xdr:row>108</xdr:row>
      <xdr:rowOff>495300</xdr:rowOff>
    </xdr:to>
    <xdr:sp macro="" textlink="">
      <xdr:nvSpPr>
        <xdr:cNvPr id="25" name="CaixaDeTexto 9">
          <a:extLst>
            <a:ext uri="{FF2B5EF4-FFF2-40B4-BE49-F238E27FC236}">
              <a16:creationId xmlns:a16="http://schemas.microsoft.com/office/drawing/2014/main" id="{E0A28D59-F5F8-4D71-AFED-A5D42D490759}"/>
            </a:ext>
          </a:extLst>
        </xdr:cNvPr>
        <xdr:cNvSpPr>
          <a:spLocks noChangeArrowheads="1"/>
        </xdr:cNvSpPr>
      </xdr:nvSpPr>
      <xdr:spPr bwMode="auto">
        <a:xfrm>
          <a:off x="828675" y="14448865"/>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108</xdr:row>
      <xdr:rowOff>228600</xdr:rowOff>
    </xdr:from>
    <xdr:to>
      <xdr:col>0</xdr:col>
      <xdr:colOff>847725</xdr:colOff>
      <xdr:row>108</xdr:row>
      <xdr:rowOff>495300</xdr:rowOff>
    </xdr:to>
    <xdr:sp macro="" textlink="">
      <xdr:nvSpPr>
        <xdr:cNvPr id="26" name="CaixaDeTexto 9">
          <a:extLst>
            <a:ext uri="{FF2B5EF4-FFF2-40B4-BE49-F238E27FC236}">
              <a16:creationId xmlns:a16="http://schemas.microsoft.com/office/drawing/2014/main" id="{BF506D90-4DBA-4046-812D-BD7D9E4525F4}"/>
            </a:ext>
          </a:extLst>
        </xdr:cNvPr>
        <xdr:cNvSpPr>
          <a:spLocks noChangeArrowheads="1"/>
        </xdr:cNvSpPr>
      </xdr:nvSpPr>
      <xdr:spPr bwMode="auto">
        <a:xfrm>
          <a:off x="828675" y="14448865"/>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108</xdr:row>
      <xdr:rowOff>228600</xdr:rowOff>
    </xdr:from>
    <xdr:to>
      <xdr:col>0</xdr:col>
      <xdr:colOff>847725</xdr:colOff>
      <xdr:row>108</xdr:row>
      <xdr:rowOff>495300</xdr:rowOff>
    </xdr:to>
    <xdr:sp macro="" textlink="">
      <xdr:nvSpPr>
        <xdr:cNvPr id="27" name="CaixaDeTexto 9">
          <a:extLst>
            <a:ext uri="{FF2B5EF4-FFF2-40B4-BE49-F238E27FC236}">
              <a16:creationId xmlns:a16="http://schemas.microsoft.com/office/drawing/2014/main" id="{16825507-D6B2-4649-A523-EC9ABD1F637A}"/>
            </a:ext>
          </a:extLst>
        </xdr:cNvPr>
        <xdr:cNvSpPr>
          <a:spLocks noChangeArrowheads="1"/>
        </xdr:cNvSpPr>
      </xdr:nvSpPr>
      <xdr:spPr bwMode="auto">
        <a:xfrm>
          <a:off x="828675" y="14448865"/>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114300</xdr:colOff>
      <xdr:row>4</xdr:row>
      <xdr:rowOff>228600</xdr:rowOff>
    </xdr:from>
    <xdr:to>
      <xdr:col>0</xdr:col>
      <xdr:colOff>285750</xdr:colOff>
      <xdr:row>4</xdr:row>
      <xdr:rowOff>495300</xdr:rowOff>
    </xdr:to>
    <xdr:sp macro="" textlink="">
      <xdr:nvSpPr>
        <xdr:cNvPr id="8" name="CaixaDeTexto 2">
          <a:extLst>
            <a:ext uri="{FF2B5EF4-FFF2-40B4-BE49-F238E27FC236}">
              <a16:creationId xmlns:a16="http://schemas.microsoft.com/office/drawing/2014/main" id="{9D78CBA6-3543-4CA1-BAF9-00080F5B344A}"/>
            </a:ext>
          </a:extLst>
        </xdr:cNvPr>
        <xdr:cNvSpPr>
          <a:spLocks noChangeArrowheads="1"/>
        </xdr:cNvSpPr>
      </xdr:nvSpPr>
      <xdr:spPr bwMode="auto">
        <a:xfrm>
          <a:off x="114300" y="19878675"/>
          <a:ext cx="171450" cy="190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4</xdr:row>
      <xdr:rowOff>228600</xdr:rowOff>
    </xdr:from>
    <xdr:to>
      <xdr:col>0</xdr:col>
      <xdr:colOff>847725</xdr:colOff>
      <xdr:row>4</xdr:row>
      <xdr:rowOff>495300</xdr:rowOff>
    </xdr:to>
    <xdr:sp macro="" textlink="">
      <xdr:nvSpPr>
        <xdr:cNvPr id="9" name="CaixaDeTexto 9">
          <a:extLst>
            <a:ext uri="{FF2B5EF4-FFF2-40B4-BE49-F238E27FC236}">
              <a16:creationId xmlns:a16="http://schemas.microsoft.com/office/drawing/2014/main" id="{7231032D-CBD8-417A-8178-9AAC243A85BF}"/>
            </a:ext>
          </a:extLst>
        </xdr:cNvPr>
        <xdr:cNvSpPr>
          <a:spLocks noChangeArrowheads="1"/>
        </xdr:cNvSpPr>
      </xdr:nvSpPr>
      <xdr:spPr bwMode="auto">
        <a:xfrm>
          <a:off x="828675" y="19878675"/>
          <a:ext cx="0" cy="190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4</xdr:row>
      <xdr:rowOff>228600</xdr:rowOff>
    </xdr:from>
    <xdr:to>
      <xdr:col>0</xdr:col>
      <xdr:colOff>285750</xdr:colOff>
      <xdr:row>4</xdr:row>
      <xdr:rowOff>495300</xdr:rowOff>
    </xdr:to>
    <xdr:sp macro="" textlink="">
      <xdr:nvSpPr>
        <xdr:cNvPr id="10" name="CaixaDeTexto 2">
          <a:extLst>
            <a:ext uri="{FF2B5EF4-FFF2-40B4-BE49-F238E27FC236}">
              <a16:creationId xmlns:a16="http://schemas.microsoft.com/office/drawing/2014/main" id="{08448583-D777-4DF2-BC50-7DA4F5395487}"/>
            </a:ext>
          </a:extLst>
        </xdr:cNvPr>
        <xdr:cNvSpPr>
          <a:spLocks noChangeArrowheads="1"/>
        </xdr:cNvSpPr>
      </xdr:nvSpPr>
      <xdr:spPr bwMode="auto">
        <a:xfrm>
          <a:off x="114300" y="1171575"/>
          <a:ext cx="17145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4</xdr:row>
      <xdr:rowOff>228600</xdr:rowOff>
    </xdr:from>
    <xdr:to>
      <xdr:col>0</xdr:col>
      <xdr:colOff>847725</xdr:colOff>
      <xdr:row>4</xdr:row>
      <xdr:rowOff>495300</xdr:rowOff>
    </xdr:to>
    <xdr:sp macro="" textlink="">
      <xdr:nvSpPr>
        <xdr:cNvPr id="11" name="CaixaDeTexto 9">
          <a:extLst>
            <a:ext uri="{FF2B5EF4-FFF2-40B4-BE49-F238E27FC236}">
              <a16:creationId xmlns:a16="http://schemas.microsoft.com/office/drawing/2014/main" id="{20FF5C30-5E18-4E52-A2BB-15B892A24579}"/>
            </a:ext>
          </a:extLst>
        </xdr:cNvPr>
        <xdr:cNvSpPr>
          <a:spLocks noChangeArrowheads="1"/>
        </xdr:cNvSpPr>
      </xdr:nvSpPr>
      <xdr:spPr bwMode="auto">
        <a:xfrm>
          <a:off x="828675" y="1171575"/>
          <a:ext cx="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4</xdr:row>
      <xdr:rowOff>228600</xdr:rowOff>
    </xdr:from>
    <xdr:to>
      <xdr:col>0</xdr:col>
      <xdr:colOff>847725</xdr:colOff>
      <xdr:row>4</xdr:row>
      <xdr:rowOff>495300</xdr:rowOff>
    </xdr:to>
    <xdr:sp macro="" textlink="">
      <xdr:nvSpPr>
        <xdr:cNvPr id="12" name="CaixaDeTexto 9">
          <a:extLst>
            <a:ext uri="{FF2B5EF4-FFF2-40B4-BE49-F238E27FC236}">
              <a16:creationId xmlns:a16="http://schemas.microsoft.com/office/drawing/2014/main" id="{3C4AD292-375B-47C5-8BAA-D60765745884}"/>
            </a:ext>
          </a:extLst>
        </xdr:cNvPr>
        <xdr:cNvSpPr>
          <a:spLocks noChangeArrowheads="1"/>
        </xdr:cNvSpPr>
      </xdr:nvSpPr>
      <xdr:spPr bwMode="auto">
        <a:xfrm>
          <a:off x="828675" y="1171575"/>
          <a:ext cx="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4</xdr:row>
      <xdr:rowOff>228600</xdr:rowOff>
    </xdr:from>
    <xdr:to>
      <xdr:col>0</xdr:col>
      <xdr:colOff>847725</xdr:colOff>
      <xdr:row>4</xdr:row>
      <xdr:rowOff>495300</xdr:rowOff>
    </xdr:to>
    <xdr:sp macro="" textlink="">
      <xdr:nvSpPr>
        <xdr:cNvPr id="13" name="CaixaDeTexto 9">
          <a:extLst>
            <a:ext uri="{FF2B5EF4-FFF2-40B4-BE49-F238E27FC236}">
              <a16:creationId xmlns:a16="http://schemas.microsoft.com/office/drawing/2014/main" id="{4D813929-8F34-48D4-B580-A39658543A00}"/>
            </a:ext>
          </a:extLst>
        </xdr:cNvPr>
        <xdr:cNvSpPr>
          <a:spLocks noChangeArrowheads="1"/>
        </xdr:cNvSpPr>
      </xdr:nvSpPr>
      <xdr:spPr bwMode="auto">
        <a:xfrm>
          <a:off x="828675" y="1171575"/>
          <a:ext cx="0" cy="1714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114300</xdr:colOff>
      <xdr:row>21</xdr:row>
      <xdr:rowOff>228600</xdr:rowOff>
    </xdr:from>
    <xdr:to>
      <xdr:col>0</xdr:col>
      <xdr:colOff>285750</xdr:colOff>
      <xdr:row>21</xdr:row>
      <xdr:rowOff>495300</xdr:rowOff>
    </xdr:to>
    <xdr:sp macro="" textlink="">
      <xdr:nvSpPr>
        <xdr:cNvPr id="14" name="CaixaDeTexto 2">
          <a:extLst>
            <a:ext uri="{FF2B5EF4-FFF2-40B4-BE49-F238E27FC236}">
              <a16:creationId xmlns:a16="http://schemas.microsoft.com/office/drawing/2014/main" id="{8A8E6EAF-1592-4297-8341-139F70BB7176}"/>
            </a:ext>
          </a:extLst>
        </xdr:cNvPr>
        <xdr:cNvSpPr>
          <a:spLocks noChangeArrowheads="1"/>
        </xdr:cNvSpPr>
      </xdr:nvSpPr>
      <xdr:spPr bwMode="auto">
        <a:xfrm>
          <a:off x="114300" y="1169894"/>
          <a:ext cx="171450" cy="1333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21</xdr:row>
      <xdr:rowOff>228600</xdr:rowOff>
    </xdr:from>
    <xdr:to>
      <xdr:col>0</xdr:col>
      <xdr:colOff>847725</xdr:colOff>
      <xdr:row>21</xdr:row>
      <xdr:rowOff>495300</xdr:rowOff>
    </xdr:to>
    <xdr:sp macro="" textlink="">
      <xdr:nvSpPr>
        <xdr:cNvPr id="15" name="CaixaDeTexto 9">
          <a:extLst>
            <a:ext uri="{FF2B5EF4-FFF2-40B4-BE49-F238E27FC236}">
              <a16:creationId xmlns:a16="http://schemas.microsoft.com/office/drawing/2014/main" id="{C0AB9DC2-98A2-41CD-8AC3-2EE3D12963AF}"/>
            </a:ext>
          </a:extLst>
        </xdr:cNvPr>
        <xdr:cNvSpPr>
          <a:spLocks noChangeArrowheads="1"/>
        </xdr:cNvSpPr>
      </xdr:nvSpPr>
      <xdr:spPr bwMode="auto">
        <a:xfrm>
          <a:off x="828675" y="1169894"/>
          <a:ext cx="0" cy="1333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21</xdr:row>
      <xdr:rowOff>228600</xdr:rowOff>
    </xdr:from>
    <xdr:to>
      <xdr:col>0</xdr:col>
      <xdr:colOff>285750</xdr:colOff>
      <xdr:row>21</xdr:row>
      <xdr:rowOff>495300</xdr:rowOff>
    </xdr:to>
    <xdr:sp macro="" textlink="">
      <xdr:nvSpPr>
        <xdr:cNvPr id="16" name="CaixaDeTexto 2">
          <a:extLst>
            <a:ext uri="{FF2B5EF4-FFF2-40B4-BE49-F238E27FC236}">
              <a16:creationId xmlns:a16="http://schemas.microsoft.com/office/drawing/2014/main" id="{B51101EE-871E-46D7-A025-2C6BCCA6A7CA}"/>
            </a:ext>
          </a:extLst>
        </xdr:cNvPr>
        <xdr:cNvSpPr>
          <a:spLocks noChangeArrowheads="1"/>
        </xdr:cNvSpPr>
      </xdr:nvSpPr>
      <xdr:spPr bwMode="auto">
        <a:xfrm>
          <a:off x="114300" y="1169894"/>
          <a:ext cx="171450" cy="1333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21</xdr:row>
      <xdr:rowOff>228600</xdr:rowOff>
    </xdr:from>
    <xdr:to>
      <xdr:col>0</xdr:col>
      <xdr:colOff>847725</xdr:colOff>
      <xdr:row>21</xdr:row>
      <xdr:rowOff>495300</xdr:rowOff>
    </xdr:to>
    <xdr:sp macro="" textlink="">
      <xdr:nvSpPr>
        <xdr:cNvPr id="17" name="CaixaDeTexto 9">
          <a:extLst>
            <a:ext uri="{FF2B5EF4-FFF2-40B4-BE49-F238E27FC236}">
              <a16:creationId xmlns:a16="http://schemas.microsoft.com/office/drawing/2014/main" id="{B222BFC7-8B8A-49C1-AA9B-5860C29E5651}"/>
            </a:ext>
          </a:extLst>
        </xdr:cNvPr>
        <xdr:cNvSpPr>
          <a:spLocks noChangeArrowheads="1"/>
        </xdr:cNvSpPr>
      </xdr:nvSpPr>
      <xdr:spPr bwMode="auto">
        <a:xfrm>
          <a:off x="828675" y="1169894"/>
          <a:ext cx="0" cy="1333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21</xdr:row>
      <xdr:rowOff>228600</xdr:rowOff>
    </xdr:from>
    <xdr:to>
      <xdr:col>0</xdr:col>
      <xdr:colOff>847725</xdr:colOff>
      <xdr:row>21</xdr:row>
      <xdr:rowOff>495300</xdr:rowOff>
    </xdr:to>
    <xdr:sp macro="" textlink="">
      <xdr:nvSpPr>
        <xdr:cNvPr id="18" name="CaixaDeTexto 9">
          <a:extLst>
            <a:ext uri="{FF2B5EF4-FFF2-40B4-BE49-F238E27FC236}">
              <a16:creationId xmlns:a16="http://schemas.microsoft.com/office/drawing/2014/main" id="{4B642D59-C88E-4AE9-AB77-5464B6B45D73}"/>
            </a:ext>
          </a:extLst>
        </xdr:cNvPr>
        <xdr:cNvSpPr>
          <a:spLocks noChangeArrowheads="1"/>
        </xdr:cNvSpPr>
      </xdr:nvSpPr>
      <xdr:spPr bwMode="auto">
        <a:xfrm>
          <a:off x="828675" y="1169894"/>
          <a:ext cx="0" cy="1333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21</xdr:row>
      <xdr:rowOff>228600</xdr:rowOff>
    </xdr:from>
    <xdr:to>
      <xdr:col>0</xdr:col>
      <xdr:colOff>847725</xdr:colOff>
      <xdr:row>21</xdr:row>
      <xdr:rowOff>495300</xdr:rowOff>
    </xdr:to>
    <xdr:sp macro="" textlink="">
      <xdr:nvSpPr>
        <xdr:cNvPr id="19" name="CaixaDeTexto 9">
          <a:extLst>
            <a:ext uri="{FF2B5EF4-FFF2-40B4-BE49-F238E27FC236}">
              <a16:creationId xmlns:a16="http://schemas.microsoft.com/office/drawing/2014/main" id="{009AE228-D3B2-4776-9C88-F01DEEA066FC}"/>
            </a:ext>
          </a:extLst>
        </xdr:cNvPr>
        <xdr:cNvSpPr>
          <a:spLocks noChangeArrowheads="1"/>
        </xdr:cNvSpPr>
      </xdr:nvSpPr>
      <xdr:spPr bwMode="auto">
        <a:xfrm>
          <a:off x="828675" y="1169894"/>
          <a:ext cx="0" cy="1333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114300</xdr:colOff>
      <xdr:row>38</xdr:row>
      <xdr:rowOff>228600</xdr:rowOff>
    </xdr:from>
    <xdr:to>
      <xdr:col>0</xdr:col>
      <xdr:colOff>285750</xdr:colOff>
      <xdr:row>38</xdr:row>
      <xdr:rowOff>495300</xdr:rowOff>
    </xdr:to>
    <xdr:sp macro="" textlink="">
      <xdr:nvSpPr>
        <xdr:cNvPr id="20" name="CaixaDeTexto 2">
          <a:extLst>
            <a:ext uri="{FF2B5EF4-FFF2-40B4-BE49-F238E27FC236}">
              <a16:creationId xmlns:a16="http://schemas.microsoft.com/office/drawing/2014/main" id="{315611EC-E141-487E-9635-1842151862CF}"/>
            </a:ext>
          </a:extLst>
        </xdr:cNvPr>
        <xdr:cNvSpPr>
          <a:spLocks noChangeArrowheads="1"/>
        </xdr:cNvSpPr>
      </xdr:nvSpPr>
      <xdr:spPr bwMode="auto">
        <a:xfrm>
          <a:off x="114300" y="4229100"/>
          <a:ext cx="17145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38</xdr:row>
      <xdr:rowOff>228600</xdr:rowOff>
    </xdr:from>
    <xdr:to>
      <xdr:col>0</xdr:col>
      <xdr:colOff>847725</xdr:colOff>
      <xdr:row>38</xdr:row>
      <xdr:rowOff>495300</xdr:rowOff>
    </xdr:to>
    <xdr:sp macro="" textlink="">
      <xdr:nvSpPr>
        <xdr:cNvPr id="21" name="CaixaDeTexto 9">
          <a:extLst>
            <a:ext uri="{FF2B5EF4-FFF2-40B4-BE49-F238E27FC236}">
              <a16:creationId xmlns:a16="http://schemas.microsoft.com/office/drawing/2014/main" id="{BB68BCB9-D61B-48EB-9016-3FCAAD79223D}"/>
            </a:ext>
          </a:extLst>
        </xdr:cNvPr>
        <xdr:cNvSpPr>
          <a:spLocks noChangeArrowheads="1"/>
        </xdr:cNvSpPr>
      </xdr:nvSpPr>
      <xdr:spPr bwMode="auto">
        <a:xfrm>
          <a:off x="828675" y="4229100"/>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38</xdr:row>
      <xdr:rowOff>228600</xdr:rowOff>
    </xdr:from>
    <xdr:to>
      <xdr:col>0</xdr:col>
      <xdr:colOff>285750</xdr:colOff>
      <xdr:row>38</xdr:row>
      <xdr:rowOff>495300</xdr:rowOff>
    </xdr:to>
    <xdr:sp macro="" textlink="">
      <xdr:nvSpPr>
        <xdr:cNvPr id="22" name="CaixaDeTexto 2">
          <a:extLst>
            <a:ext uri="{FF2B5EF4-FFF2-40B4-BE49-F238E27FC236}">
              <a16:creationId xmlns:a16="http://schemas.microsoft.com/office/drawing/2014/main" id="{5959388D-76EE-48F9-924A-75911A8E63BB}"/>
            </a:ext>
          </a:extLst>
        </xdr:cNvPr>
        <xdr:cNvSpPr>
          <a:spLocks noChangeArrowheads="1"/>
        </xdr:cNvSpPr>
      </xdr:nvSpPr>
      <xdr:spPr bwMode="auto">
        <a:xfrm>
          <a:off x="114300" y="4229100"/>
          <a:ext cx="17145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38</xdr:row>
      <xdr:rowOff>228600</xdr:rowOff>
    </xdr:from>
    <xdr:to>
      <xdr:col>0</xdr:col>
      <xdr:colOff>847725</xdr:colOff>
      <xdr:row>38</xdr:row>
      <xdr:rowOff>495300</xdr:rowOff>
    </xdr:to>
    <xdr:sp macro="" textlink="">
      <xdr:nvSpPr>
        <xdr:cNvPr id="23" name="CaixaDeTexto 9">
          <a:extLst>
            <a:ext uri="{FF2B5EF4-FFF2-40B4-BE49-F238E27FC236}">
              <a16:creationId xmlns:a16="http://schemas.microsoft.com/office/drawing/2014/main" id="{F614779C-E119-4462-AC81-BA370C58AEBD}"/>
            </a:ext>
          </a:extLst>
        </xdr:cNvPr>
        <xdr:cNvSpPr>
          <a:spLocks noChangeArrowheads="1"/>
        </xdr:cNvSpPr>
      </xdr:nvSpPr>
      <xdr:spPr bwMode="auto">
        <a:xfrm>
          <a:off x="828675" y="4229100"/>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38</xdr:row>
      <xdr:rowOff>228600</xdr:rowOff>
    </xdr:from>
    <xdr:to>
      <xdr:col>0</xdr:col>
      <xdr:colOff>847725</xdr:colOff>
      <xdr:row>38</xdr:row>
      <xdr:rowOff>495300</xdr:rowOff>
    </xdr:to>
    <xdr:sp macro="" textlink="">
      <xdr:nvSpPr>
        <xdr:cNvPr id="24" name="CaixaDeTexto 9">
          <a:extLst>
            <a:ext uri="{FF2B5EF4-FFF2-40B4-BE49-F238E27FC236}">
              <a16:creationId xmlns:a16="http://schemas.microsoft.com/office/drawing/2014/main" id="{A7B1F3CC-A372-4FCC-A260-5F28303F3DDF}"/>
            </a:ext>
          </a:extLst>
        </xdr:cNvPr>
        <xdr:cNvSpPr>
          <a:spLocks noChangeArrowheads="1"/>
        </xdr:cNvSpPr>
      </xdr:nvSpPr>
      <xdr:spPr bwMode="auto">
        <a:xfrm>
          <a:off x="828675" y="4229100"/>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38</xdr:row>
      <xdr:rowOff>228600</xdr:rowOff>
    </xdr:from>
    <xdr:to>
      <xdr:col>0</xdr:col>
      <xdr:colOff>847725</xdr:colOff>
      <xdr:row>38</xdr:row>
      <xdr:rowOff>495300</xdr:rowOff>
    </xdr:to>
    <xdr:sp macro="" textlink="">
      <xdr:nvSpPr>
        <xdr:cNvPr id="25" name="CaixaDeTexto 9">
          <a:extLst>
            <a:ext uri="{FF2B5EF4-FFF2-40B4-BE49-F238E27FC236}">
              <a16:creationId xmlns:a16="http://schemas.microsoft.com/office/drawing/2014/main" id="{4EB06516-78DF-4532-80B3-18A31678E447}"/>
            </a:ext>
          </a:extLst>
        </xdr:cNvPr>
        <xdr:cNvSpPr>
          <a:spLocks noChangeArrowheads="1"/>
        </xdr:cNvSpPr>
      </xdr:nvSpPr>
      <xdr:spPr bwMode="auto">
        <a:xfrm>
          <a:off x="828675" y="4229100"/>
          <a:ext cx="0" cy="1428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114300</xdr:colOff>
      <xdr:row>55</xdr:row>
      <xdr:rowOff>228600</xdr:rowOff>
    </xdr:from>
    <xdr:to>
      <xdr:col>0</xdr:col>
      <xdr:colOff>285750</xdr:colOff>
      <xdr:row>55</xdr:row>
      <xdr:rowOff>495300</xdr:rowOff>
    </xdr:to>
    <xdr:sp macro="" textlink="">
      <xdr:nvSpPr>
        <xdr:cNvPr id="26" name="CaixaDeTexto 2">
          <a:extLst>
            <a:ext uri="{FF2B5EF4-FFF2-40B4-BE49-F238E27FC236}">
              <a16:creationId xmlns:a16="http://schemas.microsoft.com/office/drawing/2014/main" id="{D664345C-A339-4023-81BF-6F8E1761EC23}"/>
            </a:ext>
          </a:extLst>
        </xdr:cNvPr>
        <xdr:cNvSpPr>
          <a:spLocks noChangeArrowheads="1"/>
        </xdr:cNvSpPr>
      </xdr:nvSpPr>
      <xdr:spPr bwMode="auto">
        <a:xfrm>
          <a:off x="114300" y="7064749"/>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55</xdr:row>
      <xdr:rowOff>228600</xdr:rowOff>
    </xdr:from>
    <xdr:to>
      <xdr:col>0</xdr:col>
      <xdr:colOff>847725</xdr:colOff>
      <xdr:row>55</xdr:row>
      <xdr:rowOff>495300</xdr:rowOff>
    </xdr:to>
    <xdr:sp macro="" textlink="">
      <xdr:nvSpPr>
        <xdr:cNvPr id="27" name="CaixaDeTexto 9">
          <a:extLst>
            <a:ext uri="{FF2B5EF4-FFF2-40B4-BE49-F238E27FC236}">
              <a16:creationId xmlns:a16="http://schemas.microsoft.com/office/drawing/2014/main" id="{34C0C34E-55ED-46D1-9A91-31CD7EB61AFE}"/>
            </a:ext>
          </a:extLst>
        </xdr:cNvPr>
        <xdr:cNvSpPr>
          <a:spLocks noChangeArrowheads="1"/>
        </xdr:cNvSpPr>
      </xdr:nvSpPr>
      <xdr:spPr bwMode="auto">
        <a:xfrm>
          <a:off x="828675" y="7064749"/>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55</xdr:row>
      <xdr:rowOff>228600</xdr:rowOff>
    </xdr:from>
    <xdr:to>
      <xdr:col>0</xdr:col>
      <xdr:colOff>285750</xdr:colOff>
      <xdr:row>55</xdr:row>
      <xdr:rowOff>495300</xdr:rowOff>
    </xdr:to>
    <xdr:sp macro="" textlink="">
      <xdr:nvSpPr>
        <xdr:cNvPr id="28" name="CaixaDeTexto 2">
          <a:extLst>
            <a:ext uri="{FF2B5EF4-FFF2-40B4-BE49-F238E27FC236}">
              <a16:creationId xmlns:a16="http://schemas.microsoft.com/office/drawing/2014/main" id="{7BB1EAD1-3F42-4642-BE77-69EBB194C12A}"/>
            </a:ext>
          </a:extLst>
        </xdr:cNvPr>
        <xdr:cNvSpPr>
          <a:spLocks noChangeArrowheads="1"/>
        </xdr:cNvSpPr>
      </xdr:nvSpPr>
      <xdr:spPr bwMode="auto">
        <a:xfrm>
          <a:off x="114300" y="7064749"/>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55</xdr:row>
      <xdr:rowOff>228600</xdr:rowOff>
    </xdr:from>
    <xdr:to>
      <xdr:col>0</xdr:col>
      <xdr:colOff>847725</xdr:colOff>
      <xdr:row>55</xdr:row>
      <xdr:rowOff>495300</xdr:rowOff>
    </xdr:to>
    <xdr:sp macro="" textlink="">
      <xdr:nvSpPr>
        <xdr:cNvPr id="29" name="CaixaDeTexto 9">
          <a:extLst>
            <a:ext uri="{FF2B5EF4-FFF2-40B4-BE49-F238E27FC236}">
              <a16:creationId xmlns:a16="http://schemas.microsoft.com/office/drawing/2014/main" id="{9635F7D6-0F5F-494B-B4A9-0E15299952E0}"/>
            </a:ext>
          </a:extLst>
        </xdr:cNvPr>
        <xdr:cNvSpPr>
          <a:spLocks noChangeArrowheads="1"/>
        </xdr:cNvSpPr>
      </xdr:nvSpPr>
      <xdr:spPr bwMode="auto">
        <a:xfrm>
          <a:off x="828675" y="7064749"/>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55</xdr:row>
      <xdr:rowOff>228600</xdr:rowOff>
    </xdr:from>
    <xdr:to>
      <xdr:col>0</xdr:col>
      <xdr:colOff>847725</xdr:colOff>
      <xdr:row>55</xdr:row>
      <xdr:rowOff>495300</xdr:rowOff>
    </xdr:to>
    <xdr:sp macro="" textlink="">
      <xdr:nvSpPr>
        <xdr:cNvPr id="30" name="CaixaDeTexto 9">
          <a:extLst>
            <a:ext uri="{FF2B5EF4-FFF2-40B4-BE49-F238E27FC236}">
              <a16:creationId xmlns:a16="http://schemas.microsoft.com/office/drawing/2014/main" id="{CA47D661-4AD3-4486-B0AC-E355E0E44D0A}"/>
            </a:ext>
          </a:extLst>
        </xdr:cNvPr>
        <xdr:cNvSpPr>
          <a:spLocks noChangeArrowheads="1"/>
        </xdr:cNvSpPr>
      </xdr:nvSpPr>
      <xdr:spPr bwMode="auto">
        <a:xfrm>
          <a:off x="828675" y="7064749"/>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55</xdr:row>
      <xdr:rowOff>228600</xdr:rowOff>
    </xdr:from>
    <xdr:to>
      <xdr:col>0</xdr:col>
      <xdr:colOff>847725</xdr:colOff>
      <xdr:row>55</xdr:row>
      <xdr:rowOff>495300</xdr:rowOff>
    </xdr:to>
    <xdr:sp macro="" textlink="">
      <xdr:nvSpPr>
        <xdr:cNvPr id="31" name="CaixaDeTexto 9">
          <a:extLst>
            <a:ext uri="{FF2B5EF4-FFF2-40B4-BE49-F238E27FC236}">
              <a16:creationId xmlns:a16="http://schemas.microsoft.com/office/drawing/2014/main" id="{9C791F1B-EFC7-4958-98B6-FD2A9256D97F}"/>
            </a:ext>
          </a:extLst>
        </xdr:cNvPr>
        <xdr:cNvSpPr>
          <a:spLocks noChangeArrowheads="1"/>
        </xdr:cNvSpPr>
      </xdr:nvSpPr>
      <xdr:spPr bwMode="auto">
        <a:xfrm>
          <a:off x="828675" y="7064749"/>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114300</xdr:colOff>
      <xdr:row>72</xdr:row>
      <xdr:rowOff>228600</xdr:rowOff>
    </xdr:from>
    <xdr:to>
      <xdr:col>0</xdr:col>
      <xdr:colOff>285750</xdr:colOff>
      <xdr:row>72</xdr:row>
      <xdr:rowOff>495300</xdr:rowOff>
    </xdr:to>
    <xdr:sp macro="" textlink="">
      <xdr:nvSpPr>
        <xdr:cNvPr id="32" name="CaixaDeTexto 2">
          <a:extLst>
            <a:ext uri="{FF2B5EF4-FFF2-40B4-BE49-F238E27FC236}">
              <a16:creationId xmlns:a16="http://schemas.microsoft.com/office/drawing/2014/main" id="{E52351B5-6C78-4DDC-9DD7-A9588630D28D}"/>
            </a:ext>
          </a:extLst>
        </xdr:cNvPr>
        <xdr:cNvSpPr>
          <a:spLocks noChangeArrowheads="1"/>
        </xdr:cNvSpPr>
      </xdr:nvSpPr>
      <xdr:spPr bwMode="auto">
        <a:xfrm>
          <a:off x="114300" y="9754160"/>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72</xdr:row>
      <xdr:rowOff>228600</xdr:rowOff>
    </xdr:from>
    <xdr:to>
      <xdr:col>0</xdr:col>
      <xdr:colOff>847725</xdr:colOff>
      <xdr:row>72</xdr:row>
      <xdr:rowOff>495300</xdr:rowOff>
    </xdr:to>
    <xdr:sp macro="" textlink="">
      <xdr:nvSpPr>
        <xdr:cNvPr id="33" name="CaixaDeTexto 9">
          <a:extLst>
            <a:ext uri="{FF2B5EF4-FFF2-40B4-BE49-F238E27FC236}">
              <a16:creationId xmlns:a16="http://schemas.microsoft.com/office/drawing/2014/main" id="{6AF34690-7865-447C-B81B-B5C589326B45}"/>
            </a:ext>
          </a:extLst>
        </xdr:cNvPr>
        <xdr:cNvSpPr>
          <a:spLocks noChangeArrowheads="1"/>
        </xdr:cNvSpPr>
      </xdr:nvSpPr>
      <xdr:spPr bwMode="auto">
        <a:xfrm>
          <a:off x="828675" y="9754160"/>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72</xdr:row>
      <xdr:rowOff>228600</xdr:rowOff>
    </xdr:from>
    <xdr:to>
      <xdr:col>0</xdr:col>
      <xdr:colOff>285750</xdr:colOff>
      <xdr:row>72</xdr:row>
      <xdr:rowOff>495300</xdr:rowOff>
    </xdr:to>
    <xdr:sp macro="" textlink="">
      <xdr:nvSpPr>
        <xdr:cNvPr id="34" name="CaixaDeTexto 2">
          <a:extLst>
            <a:ext uri="{FF2B5EF4-FFF2-40B4-BE49-F238E27FC236}">
              <a16:creationId xmlns:a16="http://schemas.microsoft.com/office/drawing/2014/main" id="{4E9637A3-9EFC-47B9-81DB-28577CE42185}"/>
            </a:ext>
          </a:extLst>
        </xdr:cNvPr>
        <xdr:cNvSpPr>
          <a:spLocks noChangeArrowheads="1"/>
        </xdr:cNvSpPr>
      </xdr:nvSpPr>
      <xdr:spPr bwMode="auto">
        <a:xfrm>
          <a:off x="114300" y="9754160"/>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72</xdr:row>
      <xdr:rowOff>228600</xdr:rowOff>
    </xdr:from>
    <xdr:to>
      <xdr:col>0</xdr:col>
      <xdr:colOff>847725</xdr:colOff>
      <xdr:row>72</xdr:row>
      <xdr:rowOff>495300</xdr:rowOff>
    </xdr:to>
    <xdr:sp macro="" textlink="">
      <xdr:nvSpPr>
        <xdr:cNvPr id="35" name="CaixaDeTexto 9">
          <a:extLst>
            <a:ext uri="{FF2B5EF4-FFF2-40B4-BE49-F238E27FC236}">
              <a16:creationId xmlns:a16="http://schemas.microsoft.com/office/drawing/2014/main" id="{49E904C9-9ED3-427C-813A-C1583195A983}"/>
            </a:ext>
          </a:extLst>
        </xdr:cNvPr>
        <xdr:cNvSpPr>
          <a:spLocks noChangeArrowheads="1"/>
        </xdr:cNvSpPr>
      </xdr:nvSpPr>
      <xdr:spPr bwMode="auto">
        <a:xfrm>
          <a:off x="828675" y="9754160"/>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72</xdr:row>
      <xdr:rowOff>228600</xdr:rowOff>
    </xdr:from>
    <xdr:to>
      <xdr:col>0</xdr:col>
      <xdr:colOff>847725</xdr:colOff>
      <xdr:row>72</xdr:row>
      <xdr:rowOff>495300</xdr:rowOff>
    </xdr:to>
    <xdr:sp macro="" textlink="">
      <xdr:nvSpPr>
        <xdr:cNvPr id="36" name="CaixaDeTexto 9">
          <a:extLst>
            <a:ext uri="{FF2B5EF4-FFF2-40B4-BE49-F238E27FC236}">
              <a16:creationId xmlns:a16="http://schemas.microsoft.com/office/drawing/2014/main" id="{937F1CBC-817C-460E-A966-0295843FDE4D}"/>
            </a:ext>
          </a:extLst>
        </xdr:cNvPr>
        <xdr:cNvSpPr>
          <a:spLocks noChangeArrowheads="1"/>
        </xdr:cNvSpPr>
      </xdr:nvSpPr>
      <xdr:spPr bwMode="auto">
        <a:xfrm>
          <a:off x="828675" y="9754160"/>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72</xdr:row>
      <xdr:rowOff>228600</xdr:rowOff>
    </xdr:from>
    <xdr:to>
      <xdr:col>0</xdr:col>
      <xdr:colOff>847725</xdr:colOff>
      <xdr:row>72</xdr:row>
      <xdr:rowOff>495300</xdr:rowOff>
    </xdr:to>
    <xdr:sp macro="" textlink="">
      <xdr:nvSpPr>
        <xdr:cNvPr id="37" name="CaixaDeTexto 9">
          <a:extLst>
            <a:ext uri="{FF2B5EF4-FFF2-40B4-BE49-F238E27FC236}">
              <a16:creationId xmlns:a16="http://schemas.microsoft.com/office/drawing/2014/main" id="{5EB21421-406D-44C7-9B91-5003DF09FB06}"/>
            </a:ext>
          </a:extLst>
        </xdr:cNvPr>
        <xdr:cNvSpPr>
          <a:spLocks noChangeArrowheads="1"/>
        </xdr:cNvSpPr>
      </xdr:nvSpPr>
      <xdr:spPr bwMode="auto">
        <a:xfrm>
          <a:off x="828675" y="9754160"/>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114300</xdr:colOff>
      <xdr:row>89</xdr:row>
      <xdr:rowOff>228600</xdr:rowOff>
    </xdr:from>
    <xdr:to>
      <xdr:col>0</xdr:col>
      <xdr:colOff>285750</xdr:colOff>
      <xdr:row>89</xdr:row>
      <xdr:rowOff>495300</xdr:rowOff>
    </xdr:to>
    <xdr:sp macro="" textlink="">
      <xdr:nvSpPr>
        <xdr:cNvPr id="38" name="CaixaDeTexto 2">
          <a:extLst>
            <a:ext uri="{FF2B5EF4-FFF2-40B4-BE49-F238E27FC236}">
              <a16:creationId xmlns:a16="http://schemas.microsoft.com/office/drawing/2014/main" id="{E658DFE7-FD5D-48EF-B1F0-B403A4C7D0E0}"/>
            </a:ext>
          </a:extLst>
        </xdr:cNvPr>
        <xdr:cNvSpPr>
          <a:spLocks noChangeArrowheads="1"/>
        </xdr:cNvSpPr>
      </xdr:nvSpPr>
      <xdr:spPr bwMode="auto">
        <a:xfrm>
          <a:off x="114300" y="12443572"/>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89</xdr:row>
      <xdr:rowOff>228600</xdr:rowOff>
    </xdr:from>
    <xdr:to>
      <xdr:col>0</xdr:col>
      <xdr:colOff>847725</xdr:colOff>
      <xdr:row>89</xdr:row>
      <xdr:rowOff>495300</xdr:rowOff>
    </xdr:to>
    <xdr:sp macro="" textlink="">
      <xdr:nvSpPr>
        <xdr:cNvPr id="39" name="CaixaDeTexto 9">
          <a:extLst>
            <a:ext uri="{FF2B5EF4-FFF2-40B4-BE49-F238E27FC236}">
              <a16:creationId xmlns:a16="http://schemas.microsoft.com/office/drawing/2014/main" id="{6BFE6767-134A-4E5D-8E74-656C21204522}"/>
            </a:ext>
          </a:extLst>
        </xdr:cNvPr>
        <xdr:cNvSpPr>
          <a:spLocks noChangeArrowheads="1"/>
        </xdr:cNvSpPr>
      </xdr:nvSpPr>
      <xdr:spPr bwMode="auto">
        <a:xfrm>
          <a:off x="828675" y="12443572"/>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89</xdr:row>
      <xdr:rowOff>228600</xdr:rowOff>
    </xdr:from>
    <xdr:to>
      <xdr:col>0</xdr:col>
      <xdr:colOff>285750</xdr:colOff>
      <xdr:row>89</xdr:row>
      <xdr:rowOff>495300</xdr:rowOff>
    </xdr:to>
    <xdr:sp macro="" textlink="">
      <xdr:nvSpPr>
        <xdr:cNvPr id="40" name="CaixaDeTexto 2">
          <a:extLst>
            <a:ext uri="{FF2B5EF4-FFF2-40B4-BE49-F238E27FC236}">
              <a16:creationId xmlns:a16="http://schemas.microsoft.com/office/drawing/2014/main" id="{976F7722-1643-45B3-B2F3-6741950CCC57}"/>
            </a:ext>
          </a:extLst>
        </xdr:cNvPr>
        <xdr:cNvSpPr>
          <a:spLocks noChangeArrowheads="1"/>
        </xdr:cNvSpPr>
      </xdr:nvSpPr>
      <xdr:spPr bwMode="auto">
        <a:xfrm>
          <a:off x="114300" y="12443572"/>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89</xdr:row>
      <xdr:rowOff>228600</xdr:rowOff>
    </xdr:from>
    <xdr:to>
      <xdr:col>0</xdr:col>
      <xdr:colOff>847725</xdr:colOff>
      <xdr:row>89</xdr:row>
      <xdr:rowOff>495300</xdr:rowOff>
    </xdr:to>
    <xdr:sp macro="" textlink="">
      <xdr:nvSpPr>
        <xdr:cNvPr id="41" name="CaixaDeTexto 9">
          <a:extLst>
            <a:ext uri="{FF2B5EF4-FFF2-40B4-BE49-F238E27FC236}">
              <a16:creationId xmlns:a16="http://schemas.microsoft.com/office/drawing/2014/main" id="{0EAAFA6F-4C61-46C7-98F5-D83AF78E2AA3}"/>
            </a:ext>
          </a:extLst>
        </xdr:cNvPr>
        <xdr:cNvSpPr>
          <a:spLocks noChangeArrowheads="1"/>
        </xdr:cNvSpPr>
      </xdr:nvSpPr>
      <xdr:spPr bwMode="auto">
        <a:xfrm>
          <a:off x="828675" y="12443572"/>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89</xdr:row>
      <xdr:rowOff>228600</xdr:rowOff>
    </xdr:from>
    <xdr:to>
      <xdr:col>0</xdr:col>
      <xdr:colOff>847725</xdr:colOff>
      <xdr:row>89</xdr:row>
      <xdr:rowOff>495300</xdr:rowOff>
    </xdr:to>
    <xdr:sp macro="" textlink="">
      <xdr:nvSpPr>
        <xdr:cNvPr id="42" name="CaixaDeTexto 9">
          <a:extLst>
            <a:ext uri="{FF2B5EF4-FFF2-40B4-BE49-F238E27FC236}">
              <a16:creationId xmlns:a16="http://schemas.microsoft.com/office/drawing/2014/main" id="{D4815446-3C89-4D93-8F56-6CA822E55A76}"/>
            </a:ext>
          </a:extLst>
        </xdr:cNvPr>
        <xdr:cNvSpPr>
          <a:spLocks noChangeArrowheads="1"/>
        </xdr:cNvSpPr>
      </xdr:nvSpPr>
      <xdr:spPr bwMode="auto">
        <a:xfrm>
          <a:off x="828675" y="12443572"/>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89</xdr:row>
      <xdr:rowOff>228600</xdr:rowOff>
    </xdr:from>
    <xdr:to>
      <xdr:col>0</xdr:col>
      <xdr:colOff>847725</xdr:colOff>
      <xdr:row>89</xdr:row>
      <xdr:rowOff>495300</xdr:rowOff>
    </xdr:to>
    <xdr:sp macro="" textlink="">
      <xdr:nvSpPr>
        <xdr:cNvPr id="43" name="CaixaDeTexto 9">
          <a:extLst>
            <a:ext uri="{FF2B5EF4-FFF2-40B4-BE49-F238E27FC236}">
              <a16:creationId xmlns:a16="http://schemas.microsoft.com/office/drawing/2014/main" id="{C90F4E42-68F9-4521-A91F-B180477626AE}"/>
            </a:ext>
          </a:extLst>
        </xdr:cNvPr>
        <xdr:cNvSpPr>
          <a:spLocks noChangeArrowheads="1"/>
        </xdr:cNvSpPr>
      </xdr:nvSpPr>
      <xdr:spPr bwMode="auto">
        <a:xfrm>
          <a:off x="828675" y="12443572"/>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114300</xdr:colOff>
      <xdr:row>106</xdr:row>
      <xdr:rowOff>228600</xdr:rowOff>
    </xdr:from>
    <xdr:to>
      <xdr:col>0</xdr:col>
      <xdr:colOff>285750</xdr:colOff>
      <xdr:row>106</xdr:row>
      <xdr:rowOff>495300</xdr:rowOff>
    </xdr:to>
    <xdr:sp macro="" textlink="">
      <xdr:nvSpPr>
        <xdr:cNvPr id="44" name="CaixaDeTexto 2">
          <a:extLst>
            <a:ext uri="{FF2B5EF4-FFF2-40B4-BE49-F238E27FC236}">
              <a16:creationId xmlns:a16="http://schemas.microsoft.com/office/drawing/2014/main" id="{C5B46942-024C-4ACD-A6C3-4E1AB6585B29}"/>
            </a:ext>
          </a:extLst>
        </xdr:cNvPr>
        <xdr:cNvSpPr>
          <a:spLocks noChangeArrowheads="1"/>
        </xdr:cNvSpPr>
      </xdr:nvSpPr>
      <xdr:spPr bwMode="auto">
        <a:xfrm>
          <a:off x="114300" y="15132984"/>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106</xdr:row>
      <xdr:rowOff>228600</xdr:rowOff>
    </xdr:from>
    <xdr:to>
      <xdr:col>0</xdr:col>
      <xdr:colOff>847725</xdr:colOff>
      <xdr:row>106</xdr:row>
      <xdr:rowOff>495300</xdr:rowOff>
    </xdr:to>
    <xdr:sp macro="" textlink="">
      <xdr:nvSpPr>
        <xdr:cNvPr id="45" name="CaixaDeTexto 9">
          <a:extLst>
            <a:ext uri="{FF2B5EF4-FFF2-40B4-BE49-F238E27FC236}">
              <a16:creationId xmlns:a16="http://schemas.microsoft.com/office/drawing/2014/main" id="{04B8CEED-8292-4572-96E4-F8118A9E136A}"/>
            </a:ext>
          </a:extLst>
        </xdr:cNvPr>
        <xdr:cNvSpPr>
          <a:spLocks noChangeArrowheads="1"/>
        </xdr:cNvSpPr>
      </xdr:nvSpPr>
      <xdr:spPr bwMode="auto">
        <a:xfrm>
          <a:off x="828675" y="15132984"/>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106</xdr:row>
      <xdr:rowOff>228600</xdr:rowOff>
    </xdr:from>
    <xdr:to>
      <xdr:col>0</xdr:col>
      <xdr:colOff>285750</xdr:colOff>
      <xdr:row>106</xdr:row>
      <xdr:rowOff>495300</xdr:rowOff>
    </xdr:to>
    <xdr:sp macro="" textlink="">
      <xdr:nvSpPr>
        <xdr:cNvPr id="46" name="CaixaDeTexto 2">
          <a:extLst>
            <a:ext uri="{FF2B5EF4-FFF2-40B4-BE49-F238E27FC236}">
              <a16:creationId xmlns:a16="http://schemas.microsoft.com/office/drawing/2014/main" id="{894D2DF8-43F8-4ED4-B447-2D22310B7A15}"/>
            </a:ext>
          </a:extLst>
        </xdr:cNvPr>
        <xdr:cNvSpPr>
          <a:spLocks noChangeArrowheads="1"/>
        </xdr:cNvSpPr>
      </xdr:nvSpPr>
      <xdr:spPr bwMode="auto">
        <a:xfrm>
          <a:off x="114300" y="15132984"/>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106</xdr:row>
      <xdr:rowOff>228600</xdr:rowOff>
    </xdr:from>
    <xdr:to>
      <xdr:col>0</xdr:col>
      <xdr:colOff>847725</xdr:colOff>
      <xdr:row>106</xdr:row>
      <xdr:rowOff>495300</xdr:rowOff>
    </xdr:to>
    <xdr:sp macro="" textlink="">
      <xdr:nvSpPr>
        <xdr:cNvPr id="47" name="CaixaDeTexto 9">
          <a:extLst>
            <a:ext uri="{FF2B5EF4-FFF2-40B4-BE49-F238E27FC236}">
              <a16:creationId xmlns:a16="http://schemas.microsoft.com/office/drawing/2014/main" id="{5223C1CE-E32F-4F92-9288-192698E8FD18}"/>
            </a:ext>
          </a:extLst>
        </xdr:cNvPr>
        <xdr:cNvSpPr>
          <a:spLocks noChangeArrowheads="1"/>
        </xdr:cNvSpPr>
      </xdr:nvSpPr>
      <xdr:spPr bwMode="auto">
        <a:xfrm>
          <a:off x="828675" y="15132984"/>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106</xdr:row>
      <xdr:rowOff>228600</xdr:rowOff>
    </xdr:from>
    <xdr:to>
      <xdr:col>0</xdr:col>
      <xdr:colOff>847725</xdr:colOff>
      <xdr:row>106</xdr:row>
      <xdr:rowOff>495300</xdr:rowOff>
    </xdr:to>
    <xdr:sp macro="" textlink="">
      <xdr:nvSpPr>
        <xdr:cNvPr id="48" name="CaixaDeTexto 9">
          <a:extLst>
            <a:ext uri="{FF2B5EF4-FFF2-40B4-BE49-F238E27FC236}">
              <a16:creationId xmlns:a16="http://schemas.microsoft.com/office/drawing/2014/main" id="{2A5E974E-B576-4074-B8A5-45F96F3DD41A}"/>
            </a:ext>
          </a:extLst>
        </xdr:cNvPr>
        <xdr:cNvSpPr>
          <a:spLocks noChangeArrowheads="1"/>
        </xdr:cNvSpPr>
      </xdr:nvSpPr>
      <xdr:spPr bwMode="auto">
        <a:xfrm>
          <a:off x="828675" y="15132984"/>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106</xdr:row>
      <xdr:rowOff>228600</xdr:rowOff>
    </xdr:from>
    <xdr:to>
      <xdr:col>0</xdr:col>
      <xdr:colOff>847725</xdr:colOff>
      <xdr:row>106</xdr:row>
      <xdr:rowOff>495300</xdr:rowOff>
    </xdr:to>
    <xdr:sp macro="" textlink="">
      <xdr:nvSpPr>
        <xdr:cNvPr id="49" name="CaixaDeTexto 9">
          <a:extLst>
            <a:ext uri="{FF2B5EF4-FFF2-40B4-BE49-F238E27FC236}">
              <a16:creationId xmlns:a16="http://schemas.microsoft.com/office/drawing/2014/main" id="{037920B4-40A7-4D89-90A7-CACE2D979A7C}"/>
            </a:ext>
          </a:extLst>
        </xdr:cNvPr>
        <xdr:cNvSpPr>
          <a:spLocks noChangeArrowheads="1"/>
        </xdr:cNvSpPr>
      </xdr:nvSpPr>
      <xdr:spPr bwMode="auto">
        <a:xfrm>
          <a:off x="828675" y="15132984"/>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114300</xdr:colOff>
      <xdr:row>123</xdr:row>
      <xdr:rowOff>228600</xdr:rowOff>
    </xdr:from>
    <xdr:to>
      <xdr:col>0</xdr:col>
      <xdr:colOff>285750</xdr:colOff>
      <xdr:row>123</xdr:row>
      <xdr:rowOff>495300</xdr:rowOff>
    </xdr:to>
    <xdr:sp macro="" textlink="">
      <xdr:nvSpPr>
        <xdr:cNvPr id="50" name="CaixaDeTexto 2">
          <a:extLst>
            <a:ext uri="{FF2B5EF4-FFF2-40B4-BE49-F238E27FC236}">
              <a16:creationId xmlns:a16="http://schemas.microsoft.com/office/drawing/2014/main" id="{7100711E-C5CF-417B-9D21-FE0E2E880F69}"/>
            </a:ext>
          </a:extLst>
        </xdr:cNvPr>
        <xdr:cNvSpPr>
          <a:spLocks noChangeArrowheads="1"/>
        </xdr:cNvSpPr>
      </xdr:nvSpPr>
      <xdr:spPr bwMode="auto">
        <a:xfrm>
          <a:off x="114300" y="17822396"/>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123</xdr:row>
      <xdr:rowOff>228600</xdr:rowOff>
    </xdr:from>
    <xdr:to>
      <xdr:col>0</xdr:col>
      <xdr:colOff>847725</xdr:colOff>
      <xdr:row>123</xdr:row>
      <xdr:rowOff>495300</xdr:rowOff>
    </xdr:to>
    <xdr:sp macro="" textlink="">
      <xdr:nvSpPr>
        <xdr:cNvPr id="51" name="CaixaDeTexto 9">
          <a:extLst>
            <a:ext uri="{FF2B5EF4-FFF2-40B4-BE49-F238E27FC236}">
              <a16:creationId xmlns:a16="http://schemas.microsoft.com/office/drawing/2014/main" id="{9551EC17-E77A-4A59-A901-A64C9383A7E9}"/>
            </a:ext>
          </a:extLst>
        </xdr:cNvPr>
        <xdr:cNvSpPr>
          <a:spLocks noChangeArrowheads="1"/>
        </xdr:cNvSpPr>
      </xdr:nvSpPr>
      <xdr:spPr bwMode="auto">
        <a:xfrm>
          <a:off x="828675" y="17822396"/>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123</xdr:row>
      <xdr:rowOff>228600</xdr:rowOff>
    </xdr:from>
    <xdr:to>
      <xdr:col>0</xdr:col>
      <xdr:colOff>285750</xdr:colOff>
      <xdr:row>123</xdr:row>
      <xdr:rowOff>495300</xdr:rowOff>
    </xdr:to>
    <xdr:sp macro="" textlink="">
      <xdr:nvSpPr>
        <xdr:cNvPr id="52" name="CaixaDeTexto 2">
          <a:extLst>
            <a:ext uri="{FF2B5EF4-FFF2-40B4-BE49-F238E27FC236}">
              <a16:creationId xmlns:a16="http://schemas.microsoft.com/office/drawing/2014/main" id="{8F140BE3-E6AE-4857-BCFB-6D621E7763F1}"/>
            </a:ext>
          </a:extLst>
        </xdr:cNvPr>
        <xdr:cNvSpPr>
          <a:spLocks noChangeArrowheads="1"/>
        </xdr:cNvSpPr>
      </xdr:nvSpPr>
      <xdr:spPr bwMode="auto">
        <a:xfrm>
          <a:off x="114300" y="17822396"/>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123</xdr:row>
      <xdr:rowOff>228600</xdr:rowOff>
    </xdr:from>
    <xdr:to>
      <xdr:col>0</xdr:col>
      <xdr:colOff>847725</xdr:colOff>
      <xdr:row>123</xdr:row>
      <xdr:rowOff>495300</xdr:rowOff>
    </xdr:to>
    <xdr:sp macro="" textlink="">
      <xdr:nvSpPr>
        <xdr:cNvPr id="53" name="CaixaDeTexto 9">
          <a:extLst>
            <a:ext uri="{FF2B5EF4-FFF2-40B4-BE49-F238E27FC236}">
              <a16:creationId xmlns:a16="http://schemas.microsoft.com/office/drawing/2014/main" id="{A5621339-BA4B-4841-BBFB-706F3E81BCA5}"/>
            </a:ext>
          </a:extLst>
        </xdr:cNvPr>
        <xdr:cNvSpPr>
          <a:spLocks noChangeArrowheads="1"/>
        </xdr:cNvSpPr>
      </xdr:nvSpPr>
      <xdr:spPr bwMode="auto">
        <a:xfrm>
          <a:off x="828675" y="17822396"/>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123</xdr:row>
      <xdr:rowOff>228600</xdr:rowOff>
    </xdr:from>
    <xdr:to>
      <xdr:col>0</xdr:col>
      <xdr:colOff>847725</xdr:colOff>
      <xdr:row>123</xdr:row>
      <xdr:rowOff>495300</xdr:rowOff>
    </xdr:to>
    <xdr:sp macro="" textlink="">
      <xdr:nvSpPr>
        <xdr:cNvPr id="54" name="CaixaDeTexto 9">
          <a:extLst>
            <a:ext uri="{FF2B5EF4-FFF2-40B4-BE49-F238E27FC236}">
              <a16:creationId xmlns:a16="http://schemas.microsoft.com/office/drawing/2014/main" id="{8FDF1B77-FB66-4EC1-A722-CF10F1333482}"/>
            </a:ext>
          </a:extLst>
        </xdr:cNvPr>
        <xdr:cNvSpPr>
          <a:spLocks noChangeArrowheads="1"/>
        </xdr:cNvSpPr>
      </xdr:nvSpPr>
      <xdr:spPr bwMode="auto">
        <a:xfrm>
          <a:off x="828675" y="17822396"/>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123</xdr:row>
      <xdr:rowOff>228600</xdr:rowOff>
    </xdr:from>
    <xdr:to>
      <xdr:col>0</xdr:col>
      <xdr:colOff>847725</xdr:colOff>
      <xdr:row>123</xdr:row>
      <xdr:rowOff>495300</xdr:rowOff>
    </xdr:to>
    <xdr:sp macro="" textlink="">
      <xdr:nvSpPr>
        <xdr:cNvPr id="55" name="CaixaDeTexto 9">
          <a:extLst>
            <a:ext uri="{FF2B5EF4-FFF2-40B4-BE49-F238E27FC236}">
              <a16:creationId xmlns:a16="http://schemas.microsoft.com/office/drawing/2014/main" id="{15698448-009C-48F6-AD10-8700AA5972A5}"/>
            </a:ext>
          </a:extLst>
        </xdr:cNvPr>
        <xdr:cNvSpPr>
          <a:spLocks noChangeArrowheads="1"/>
        </xdr:cNvSpPr>
      </xdr:nvSpPr>
      <xdr:spPr bwMode="auto">
        <a:xfrm>
          <a:off x="828675" y="17822396"/>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114300</xdr:colOff>
      <xdr:row>140</xdr:row>
      <xdr:rowOff>228600</xdr:rowOff>
    </xdr:from>
    <xdr:to>
      <xdr:col>0</xdr:col>
      <xdr:colOff>285750</xdr:colOff>
      <xdr:row>140</xdr:row>
      <xdr:rowOff>495300</xdr:rowOff>
    </xdr:to>
    <xdr:sp macro="" textlink="">
      <xdr:nvSpPr>
        <xdr:cNvPr id="56" name="CaixaDeTexto 2">
          <a:extLst>
            <a:ext uri="{FF2B5EF4-FFF2-40B4-BE49-F238E27FC236}">
              <a16:creationId xmlns:a16="http://schemas.microsoft.com/office/drawing/2014/main" id="{C7346153-A703-4188-9E2A-0F2B09293258}"/>
            </a:ext>
          </a:extLst>
        </xdr:cNvPr>
        <xdr:cNvSpPr>
          <a:spLocks noChangeArrowheads="1"/>
        </xdr:cNvSpPr>
      </xdr:nvSpPr>
      <xdr:spPr bwMode="auto">
        <a:xfrm>
          <a:off x="114300" y="20511807"/>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140</xdr:row>
      <xdr:rowOff>228600</xdr:rowOff>
    </xdr:from>
    <xdr:to>
      <xdr:col>0</xdr:col>
      <xdr:colOff>847725</xdr:colOff>
      <xdr:row>140</xdr:row>
      <xdr:rowOff>495300</xdr:rowOff>
    </xdr:to>
    <xdr:sp macro="" textlink="">
      <xdr:nvSpPr>
        <xdr:cNvPr id="57" name="CaixaDeTexto 9">
          <a:extLst>
            <a:ext uri="{FF2B5EF4-FFF2-40B4-BE49-F238E27FC236}">
              <a16:creationId xmlns:a16="http://schemas.microsoft.com/office/drawing/2014/main" id="{266C2608-32DB-47EB-9D52-EF6A77E1AAF3}"/>
            </a:ext>
          </a:extLst>
        </xdr:cNvPr>
        <xdr:cNvSpPr>
          <a:spLocks noChangeArrowheads="1"/>
        </xdr:cNvSpPr>
      </xdr:nvSpPr>
      <xdr:spPr bwMode="auto">
        <a:xfrm>
          <a:off x="828675" y="20511807"/>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140</xdr:row>
      <xdr:rowOff>228600</xdr:rowOff>
    </xdr:from>
    <xdr:to>
      <xdr:col>0</xdr:col>
      <xdr:colOff>285750</xdr:colOff>
      <xdr:row>140</xdr:row>
      <xdr:rowOff>495300</xdr:rowOff>
    </xdr:to>
    <xdr:sp macro="" textlink="">
      <xdr:nvSpPr>
        <xdr:cNvPr id="58" name="CaixaDeTexto 2">
          <a:extLst>
            <a:ext uri="{FF2B5EF4-FFF2-40B4-BE49-F238E27FC236}">
              <a16:creationId xmlns:a16="http://schemas.microsoft.com/office/drawing/2014/main" id="{01C4B349-7280-4C2F-8CEB-5A2CE97DE4F8}"/>
            </a:ext>
          </a:extLst>
        </xdr:cNvPr>
        <xdr:cNvSpPr>
          <a:spLocks noChangeArrowheads="1"/>
        </xdr:cNvSpPr>
      </xdr:nvSpPr>
      <xdr:spPr bwMode="auto">
        <a:xfrm>
          <a:off x="114300" y="20511807"/>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140</xdr:row>
      <xdr:rowOff>228600</xdr:rowOff>
    </xdr:from>
    <xdr:to>
      <xdr:col>0</xdr:col>
      <xdr:colOff>847725</xdr:colOff>
      <xdr:row>140</xdr:row>
      <xdr:rowOff>495300</xdr:rowOff>
    </xdr:to>
    <xdr:sp macro="" textlink="">
      <xdr:nvSpPr>
        <xdr:cNvPr id="59" name="CaixaDeTexto 9">
          <a:extLst>
            <a:ext uri="{FF2B5EF4-FFF2-40B4-BE49-F238E27FC236}">
              <a16:creationId xmlns:a16="http://schemas.microsoft.com/office/drawing/2014/main" id="{D782BED0-3FE5-476D-B79E-A9EE6A444EA3}"/>
            </a:ext>
          </a:extLst>
        </xdr:cNvPr>
        <xdr:cNvSpPr>
          <a:spLocks noChangeArrowheads="1"/>
        </xdr:cNvSpPr>
      </xdr:nvSpPr>
      <xdr:spPr bwMode="auto">
        <a:xfrm>
          <a:off x="828675" y="20511807"/>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140</xdr:row>
      <xdr:rowOff>228600</xdr:rowOff>
    </xdr:from>
    <xdr:to>
      <xdr:col>0</xdr:col>
      <xdr:colOff>847725</xdr:colOff>
      <xdr:row>140</xdr:row>
      <xdr:rowOff>495300</xdr:rowOff>
    </xdr:to>
    <xdr:sp macro="" textlink="">
      <xdr:nvSpPr>
        <xdr:cNvPr id="60" name="CaixaDeTexto 9">
          <a:extLst>
            <a:ext uri="{FF2B5EF4-FFF2-40B4-BE49-F238E27FC236}">
              <a16:creationId xmlns:a16="http://schemas.microsoft.com/office/drawing/2014/main" id="{CB636D01-12EA-4A4B-931F-056644B470CD}"/>
            </a:ext>
          </a:extLst>
        </xdr:cNvPr>
        <xdr:cNvSpPr>
          <a:spLocks noChangeArrowheads="1"/>
        </xdr:cNvSpPr>
      </xdr:nvSpPr>
      <xdr:spPr bwMode="auto">
        <a:xfrm>
          <a:off x="828675" y="20511807"/>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140</xdr:row>
      <xdr:rowOff>228600</xdr:rowOff>
    </xdr:from>
    <xdr:to>
      <xdr:col>0</xdr:col>
      <xdr:colOff>847725</xdr:colOff>
      <xdr:row>140</xdr:row>
      <xdr:rowOff>495300</xdr:rowOff>
    </xdr:to>
    <xdr:sp macro="" textlink="">
      <xdr:nvSpPr>
        <xdr:cNvPr id="61" name="CaixaDeTexto 9">
          <a:extLst>
            <a:ext uri="{FF2B5EF4-FFF2-40B4-BE49-F238E27FC236}">
              <a16:creationId xmlns:a16="http://schemas.microsoft.com/office/drawing/2014/main" id="{65350533-68F1-49AA-ACEB-5F54401C9F6D}"/>
            </a:ext>
          </a:extLst>
        </xdr:cNvPr>
        <xdr:cNvSpPr>
          <a:spLocks noChangeArrowheads="1"/>
        </xdr:cNvSpPr>
      </xdr:nvSpPr>
      <xdr:spPr bwMode="auto">
        <a:xfrm>
          <a:off x="828675" y="20511807"/>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114300</xdr:colOff>
      <xdr:row>157</xdr:row>
      <xdr:rowOff>228600</xdr:rowOff>
    </xdr:from>
    <xdr:to>
      <xdr:col>0</xdr:col>
      <xdr:colOff>285750</xdr:colOff>
      <xdr:row>157</xdr:row>
      <xdr:rowOff>495300</xdr:rowOff>
    </xdr:to>
    <xdr:sp macro="" textlink="">
      <xdr:nvSpPr>
        <xdr:cNvPr id="62" name="CaixaDeTexto 2">
          <a:extLst>
            <a:ext uri="{FF2B5EF4-FFF2-40B4-BE49-F238E27FC236}">
              <a16:creationId xmlns:a16="http://schemas.microsoft.com/office/drawing/2014/main" id="{054A485C-A5B8-45D8-B1A1-47FE4FCDC54F}"/>
            </a:ext>
          </a:extLst>
        </xdr:cNvPr>
        <xdr:cNvSpPr>
          <a:spLocks noChangeArrowheads="1"/>
        </xdr:cNvSpPr>
      </xdr:nvSpPr>
      <xdr:spPr bwMode="auto">
        <a:xfrm>
          <a:off x="114300" y="23201219"/>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157</xdr:row>
      <xdr:rowOff>228600</xdr:rowOff>
    </xdr:from>
    <xdr:to>
      <xdr:col>0</xdr:col>
      <xdr:colOff>847725</xdr:colOff>
      <xdr:row>157</xdr:row>
      <xdr:rowOff>495300</xdr:rowOff>
    </xdr:to>
    <xdr:sp macro="" textlink="">
      <xdr:nvSpPr>
        <xdr:cNvPr id="63" name="CaixaDeTexto 9">
          <a:extLst>
            <a:ext uri="{FF2B5EF4-FFF2-40B4-BE49-F238E27FC236}">
              <a16:creationId xmlns:a16="http://schemas.microsoft.com/office/drawing/2014/main" id="{03397ADA-4E92-47D7-A012-47FD2916F8DD}"/>
            </a:ext>
          </a:extLst>
        </xdr:cNvPr>
        <xdr:cNvSpPr>
          <a:spLocks noChangeArrowheads="1"/>
        </xdr:cNvSpPr>
      </xdr:nvSpPr>
      <xdr:spPr bwMode="auto">
        <a:xfrm>
          <a:off x="828675" y="23201219"/>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157</xdr:row>
      <xdr:rowOff>228600</xdr:rowOff>
    </xdr:from>
    <xdr:to>
      <xdr:col>0</xdr:col>
      <xdr:colOff>285750</xdr:colOff>
      <xdr:row>157</xdr:row>
      <xdr:rowOff>495300</xdr:rowOff>
    </xdr:to>
    <xdr:sp macro="" textlink="">
      <xdr:nvSpPr>
        <xdr:cNvPr id="64" name="CaixaDeTexto 2">
          <a:extLst>
            <a:ext uri="{FF2B5EF4-FFF2-40B4-BE49-F238E27FC236}">
              <a16:creationId xmlns:a16="http://schemas.microsoft.com/office/drawing/2014/main" id="{B6C41D27-4713-4F4C-8514-297B9E941B50}"/>
            </a:ext>
          </a:extLst>
        </xdr:cNvPr>
        <xdr:cNvSpPr>
          <a:spLocks noChangeArrowheads="1"/>
        </xdr:cNvSpPr>
      </xdr:nvSpPr>
      <xdr:spPr bwMode="auto">
        <a:xfrm>
          <a:off x="114300" y="23201219"/>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157</xdr:row>
      <xdr:rowOff>228600</xdr:rowOff>
    </xdr:from>
    <xdr:to>
      <xdr:col>0</xdr:col>
      <xdr:colOff>847725</xdr:colOff>
      <xdr:row>157</xdr:row>
      <xdr:rowOff>495300</xdr:rowOff>
    </xdr:to>
    <xdr:sp macro="" textlink="">
      <xdr:nvSpPr>
        <xdr:cNvPr id="65" name="CaixaDeTexto 9">
          <a:extLst>
            <a:ext uri="{FF2B5EF4-FFF2-40B4-BE49-F238E27FC236}">
              <a16:creationId xmlns:a16="http://schemas.microsoft.com/office/drawing/2014/main" id="{6CF067A4-7B42-4939-83D1-33FF87415772}"/>
            </a:ext>
          </a:extLst>
        </xdr:cNvPr>
        <xdr:cNvSpPr>
          <a:spLocks noChangeArrowheads="1"/>
        </xdr:cNvSpPr>
      </xdr:nvSpPr>
      <xdr:spPr bwMode="auto">
        <a:xfrm>
          <a:off x="828675" y="23201219"/>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157</xdr:row>
      <xdr:rowOff>228600</xdr:rowOff>
    </xdr:from>
    <xdr:to>
      <xdr:col>0</xdr:col>
      <xdr:colOff>847725</xdr:colOff>
      <xdr:row>157</xdr:row>
      <xdr:rowOff>495300</xdr:rowOff>
    </xdr:to>
    <xdr:sp macro="" textlink="">
      <xdr:nvSpPr>
        <xdr:cNvPr id="66" name="CaixaDeTexto 9">
          <a:extLst>
            <a:ext uri="{FF2B5EF4-FFF2-40B4-BE49-F238E27FC236}">
              <a16:creationId xmlns:a16="http://schemas.microsoft.com/office/drawing/2014/main" id="{DB5492BD-4DA2-4133-9166-CDB52E7A5B2E}"/>
            </a:ext>
          </a:extLst>
        </xdr:cNvPr>
        <xdr:cNvSpPr>
          <a:spLocks noChangeArrowheads="1"/>
        </xdr:cNvSpPr>
      </xdr:nvSpPr>
      <xdr:spPr bwMode="auto">
        <a:xfrm>
          <a:off x="828675" y="23201219"/>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157</xdr:row>
      <xdr:rowOff>228600</xdr:rowOff>
    </xdr:from>
    <xdr:to>
      <xdr:col>0</xdr:col>
      <xdr:colOff>847725</xdr:colOff>
      <xdr:row>157</xdr:row>
      <xdr:rowOff>495300</xdr:rowOff>
    </xdr:to>
    <xdr:sp macro="" textlink="">
      <xdr:nvSpPr>
        <xdr:cNvPr id="67" name="CaixaDeTexto 9">
          <a:extLst>
            <a:ext uri="{FF2B5EF4-FFF2-40B4-BE49-F238E27FC236}">
              <a16:creationId xmlns:a16="http://schemas.microsoft.com/office/drawing/2014/main" id="{2AAA9D70-6D81-49B2-83E5-C3A083370E98}"/>
            </a:ext>
          </a:extLst>
        </xdr:cNvPr>
        <xdr:cNvSpPr>
          <a:spLocks noChangeArrowheads="1"/>
        </xdr:cNvSpPr>
      </xdr:nvSpPr>
      <xdr:spPr bwMode="auto">
        <a:xfrm>
          <a:off x="828675" y="23201219"/>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114300</xdr:colOff>
      <xdr:row>174</xdr:row>
      <xdr:rowOff>228600</xdr:rowOff>
    </xdr:from>
    <xdr:to>
      <xdr:col>0</xdr:col>
      <xdr:colOff>285750</xdr:colOff>
      <xdr:row>174</xdr:row>
      <xdr:rowOff>495300</xdr:rowOff>
    </xdr:to>
    <xdr:sp macro="" textlink="">
      <xdr:nvSpPr>
        <xdr:cNvPr id="68" name="CaixaDeTexto 2">
          <a:extLst>
            <a:ext uri="{FF2B5EF4-FFF2-40B4-BE49-F238E27FC236}">
              <a16:creationId xmlns:a16="http://schemas.microsoft.com/office/drawing/2014/main" id="{6F55137B-9143-4926-A757-A3E739AB3619}"/>
            </a:ext>
          </a:extLst>
        </xdr:cNvPr>
        <xdr:cNvSpPr>
          <a:spLocks noChangeArrowheads="1"/>
        </xdr:cNvSpPr>
      </xdr:nvSpPr>
      <xdr:spPr bwMode="auto">
        <a:xfrm>
          <a:off x="114300" y="25890631"/>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174</xdr:row>
      <xdr:rowOff>228600</xdr:rowOff>
    </xdr:from>
    <xdr:to>
      <xdr:col>0</xdr:col>
      <xdr:colOff>847725</xdr:colOff>
      <xdr:row>174</xdr:row>
      <xdr:rowOff>495300</xdr:rowOff>
    </xdr:to>
    <xdr:sp macro="" textlink="">
      <xdr:nvSpPr>
        <xdr:cNvPr id="69" name="CaixaDeTexto 9">
          <a:extLst>
            <a:ext uri="{FF2B5EF4-FFF2-40B4-BE49-F238E27FC236}">
              <a16:creationId xmlns:a16="http://schemas.microsoft.com/office/drawing/2014/main" id="{4100F421-BE2C-45FE-9FBB-1DA3108235C1}"/>
            </a:ext>
          </a:extLst>
        </xdr:cNvPr>
        <xdr:cNvSpPr>
          <a:spLocks noChangeArrowheads="1"/>
        </xdr:cNvSpPr>
      </xdr:nvSpPr>
      <xdr:spPr bwMode="auto">
        <a:xfrm>
          <a:off x="828675" y="25890631"/>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174</xdr:row>
      <xdr:rowOff>228600</xdr:rowOff>
    </xdr:from>
    <xdr:to>
      <xdr:col>0</xdr:col>
      <xdr:colOff>285750</xdr:colOff>
      <xdr:row>174</xdr:row>
      <xdr:rowOff>495300</xdr:rowOff>
    </xdr:to>
    <xdr:sp macro="" textlink="">
      <xdr:nvSpPr>
        <xdr:cNvPr id="70" name="CaixaDeTexto 2">
          <a:extLst>
            <a:ext uri="{FF2B5EF4-FFF2-40B4-BE49-F238E27FC236}">
              <a16:creationId xmlns:a16="http://schemas.microsoft.com/office/drawing/2014/main" id="{58CF4069-C12B-4B7F-AFE1-7AD5589D9B9E}"/>
            </a:ext>
          </a:extLst>
        </xdr:cNvPr>
        <xdr:cNvSpPr>
          <a:spLocks noChangeArrowheads="1"/>
        </xdr:cNvSpPr>
      </xdr:nvSpPr>
      <xdr:spPr bwMode="auto">
        <a:xfrm>
          <a:off x="114300" y="25890631"/>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174</xdr:row>
      <xdr:rowOff>228600</xdr:rowOff>
    </xdr:from>
    <xdr:to>
      <xdr:col>0</xdr:col>
      <xdr:colOff>847725</xdr:colOff>
      <xdr:row>174</xdr:row>
      <xdr:rowOff>495300</xdr:rowOff>
    </xdr:to>
    <xdr:sp macro="" textlink="">
      <xdr:nvSpPr>
        <xdr:cNvPr id="71" name="CaixaDeTexto 9">
          <a:extLst>
            <a:ext uri="{FF2B5EF4-FFF2-40B4-BE49-F238E27FC236}">
              <a16:creationId xmlns:a16="http://schemas.microsoft.com/office/drawing/2014/main" id="{9211DA6E-3D55-4DEB-840B-B1072C5A2279}"/>
            </a:ext>
          </a:extLst>
        </xdr:cNvPr>
        <xdr:cNvSpPr>
          <a:spLocks noChangeArrowheads="1"/>
        </xdr:cNvSpPr>
      </xdr:nvSpPr>
      <xdr:spPr bwMode="auto">
        <a:xfrm>
          <a:off x="828675" y="25890631"/>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174</xdr:row>
      <xdr:rowOff>228600</xdr:rowOff>
    </xdr:from>
    <xdr:to>
      <xdr:col>0</xdr:col>
      <xdr:colOff>847725</xdr:colOff>
      <xdr:row>174</xdr:row>
      <xdr:rowOff>495300</xdr:rowOff>
    </xdr:to>
    <xdr:sp macro="" textlink="">
      <xdr:nvSpPr>
        <xdr:cNvPr id="72" name="CaixaDeTexto 9">
          <a:extLst>
            <a:ext uri="{FF2B5EF4-FFF2-40B4-BE49-F238E27FC236}">
              <a16:creationId xmlns:a16="http://schemas.microsoft.com/office/drawing/2014/main" id="{92EF40E1-76D2-4601-B8C6-3D6E62355F1C}"/>
            </a:ext>
          </a:extLst>
        </xdr:cNvPr>
        <xdr:cNvSpPr>
          <a:spLocks noChangeArrowheads="1"/>
        </xdr:cNvSpPr>
      </xdr:nvSpPr>
      <xdr:spPr bwMode="auto">
        <a:xfrm>
          <a:off x="828675" y="25890631"/>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174</xdr:row>
      <xdr:rowOff>228600</xdr:rowOff>
    </xdr:from>
    <xdr:to>
      <xdr:col>0</xdr:col>
      <xdr:colOff>847725</xdr:colOff>
      <xdr:row>174</xdr:row>
      <xdr:rowOff>495300</xdr:rowOff>
    </xdr:to>
    <xdr:sp macro="" textlink="">
      <xdr:nvSpPr>
        <xdr:cNvPr id="73" name="CaixaDeTexto 9">
          <a:extLst>
            <a:ext uri="{FF2B5EF4-FFF2-40B4-BE49-F238E27FC236}">
              <a16:creationId xmlns:a16="http://schemas.microsoft.com/office/drawing/2014/main" id="{CF5FF442-BE25-4D9D-B254-588839546325}"/>
            </a:ext>
          </a:extLst>
        </xdr:cNvPr>
        <xdr:cNvSpPr>
          <a:spLocks noChangeArrowheads="1"/>
        </xdr:cNvSpPr>
      </xdr:nvSpPr>
      <xdr:spPr bwMode="auto">
        <a:xfrm>
          <a:off x="828675" y="25890631"/>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114300</xdr:colOff>
      <xdr:row>191</xdr:row>
      <xdr:rowOff>228600</xdr:rowOff>
    </xdr:from>
    <xdr:to>
      <xdr:col>0</xdr:col>
      <xdr:colOff>285750</xdr:colOff>
      <xdr:row>191</xdr:row>
      <xdr:rowOff>495300</xdr:rowOff>
    </xdr:to>
    <xdr:sp macro="" textlink="">
      <xdr:nvSpPr>
        <xdr:cNvPr id="74" name="CaixaDeTexto 2">
          <a:extLst>
            <a:ext uri="{FF2B5EF4-FFF2-40B4-BE49-F238E27FC236}">
              <a16:creationId xmlns:a16="http://schemas.microsoft.com/office/drawing/2014/main" id="{4EA59830-6DF0-4C2F-AC8A-55C4605E18C9}"/>
            </a:ext>
          </a:extLst>
        </xdr:cNvPr>
        <xdr:cNvSpPr>
          <a:spLocks noChangeArrowheads="1"/>
        </xdr:cNvSpPr>
      </xdr:nvSpPr>
      <xdr:spPr bwMode="auto">
        <a:xfrm>
          <a:off x="114300" y="28580043"/>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191</xdr:row>
      <xdr:rowOff>228600</xdr:rowOff>
    </xdr:from>
    <xdr:to>
      <xdr:col>0</xdr:col>
      <xdr:colOff>847725</xdr:colOff>
      <xdr:row>191</xdr:row>
      <xdr:rowOff>495300</xdr:rowOff>
    </xdr:to>
    <xdr:sp macro="" textlink="">
      <xdr:nvSpPr>
        <xdr:cNvPr id="75" name="CaixaDeTexto 9">
          <a:extLst>
            <a:ext uri="{FF2B5EF4-FFF2-40B4-BE49-F238E27FC236}">
              <a16:creationId xmlns:a16="http://schemas.microsoft.com/office/drawing/2014/main" id="{86466366-38C7-4704-A161-186662270E04}"/>
            </a:ext>
          </a:extLst>
        </xdr:cNvPr>
        <xdr:cNvSpPr>
          <a:spLocks noChangeArrowheads="1"/>
        </xdr:cNvSpPr>
      </xdr:nvSpPr>
      <xdr:spPr bwMode="auto">
        <a:xfrm>
          <a:off x="828675" y="28580043"/>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191</xdr:row>
      <xdr:rowOff>228600</xdr:rowOff>
    </xdr:from>
    <xdr:to>
      <xdr:col>0</xdr:col>
      <xdr:colOff>285750</xdr:colOff>
      <xdr:row>191</xdr:row>
      <xdr:rowOff>495300</xdr:rowOff>
    </xdr:to>
    <xdr:sp macro="" textlink="">
      <xdr:nvSpPr>
        <xdr:cNvPr id="76" name="CaixaDeTexto 2">
          <a:extLst>
            <a:ext uri="{FF2B5EF4-FFF2-40B4-BE49-F238E27FC236}">
              <a16:creationId xmlns:a16="http://schemas.microsoft.com/office/drawing/2014/main" id="{0BD7E0D3-523C-42EF-A988-E6AAC823DC9B}"/>
            </a:ext>
          </a:extLst>
        </xdr:cNvPr>
        <xdr:cNvSpPr>
          <a:spLocks noChangeArrowheads="1"/>
        </xdr:cNvSpPr>
      </xdr:nvSpPr>
      <xdr:spPr bwMode="auto">
        <a:xfrm>
          <a:off x="114300" y="28580043"/>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191</xdr:row>
      <xdr:rowOff>228600</xdr:rowOff>
    </xdr:from>
    <xdr:to>
      <xdr:col>0</xdr:col>
      <xdr:colOff>847725</xdr:colOff>
      <xdr:row>191</xdr:row>
      <xdr:rowOff>495300</xdr:rowOff>
    </xdr:to>
    <xdr:sp macro="" textlink="">
      <xdr:nvSpPr>
        <xdr:cNvPr id="77" name="CaixaDeTexto 9">
          <a:extLst>
            <a:ext uri="{FF2B5EF4-FFF2-40B4-BE49-F238E27FC236}">
              <a16:creationId xmlns:a16="http://schemas.microsoft.com/office/drawing/2014/main" id="{6CE43269-DD9B-4E3B-B4B3-B0415963DCC6}"/>
            </a:ext>
          </a:extLst>
        </xdr:cNvPr>
        <xdr:cNvSpPr>
          <a:spLocks noChangeArrowheads="1"/>
        </xdr:cNvSpPr>
      </xdr:nvSpPr>
      <xdr:spPr bwMode="auto">
        <a:xfrm>
          <a:off x="828675" y="28580043"/>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191</xdr:row>
      <xdr:rowOff>228600</xdr:rowOff>
    </xdr:from>
    <xdr:to>
      <xdr:col>0</xdr:col>
      <xdr:colOff>847725</xdr:colOff>
      <xdr:row>191</xdr:row>
      <xdr:rowOff>495300</xdr:rowOff>
    </xdr:to>
    <xdr:sp macro="" textlink="">
      <xdr:nvSpPr>
        <xdr:cNvPr id="78" name="CaixaDeTexto 9">
          <a:extLst>
            <a:ext uri="{FF2B5EF4-FFF2-40B4-BE49-F238E27FC236}">
              <a16:creationId xmlns:a16="http://schemas.microsoft.com/office/drawing/2014/main" id="{32CBB061-0976-4096-BB41-CB8A009CDD23}"/>
            </a:ext>
          </a:extLst>
        </xdr:cNvPr>
        <xdr:cNvSpPr>
          <a:spLocks noChangeArrowheads="1"/>
        </xdr:cNvSpPr>
      </xdr:nvSpPr>
      <xdr:spPr bwMode="auto">
        <a:xfrm>
          <a:off x="828675" y="28580043"/>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191</xdr:row>
      <xdr:rowOff>228600</xdr:rowOff>
    </xdr:from>
    <xdr:to>
      <xdr:col>0</xdr:col>
      <xdr:colOff>847725</xdr:colOff>
      <xdr:row>191</xdr:row>
      <xdr:rowOff>495300</xdr:rowOff>
    </xdr:to>
    <xdr:sp macro="" textlink="">
      <xdr:nvSpPr>
        <xdr:cNvPr id="79" name="CaixaDeTexto 9">
          <a:extLst>
            <a:ext uri="{FF2B5EF4-FFF2-40B4-BE49-F238E27FC236}">
              <a16:creationId xmlns:a16="http://schemas.microsoft.com/office/drawing/2014/main" id="{2F6CC68C-3D07-4DE1-A751-4A5A7DE0CAAB}"/>
            </a:ext>
          </a:extLst>
        </xdr:cNvPr>
        <xdr:cNvSpPr>
          <a:spLocks noChangeArrowheads="1"/>
        </xdr:cNvSpPr>
      </xdr:nvSpPr>
      <xdr:spPr bwMode="auto">
        <a:xfrm>
          <a:off x="828675" y="28580043"/>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114300</xdr:colOff>
      <xdr:row>208</xdr:row>
      <xdr:rowOff>228600</xdr:rowOff>
    </xdr:from>
    <xdr:to>
      <xdr:col>0</xdr:col>
      <xdr:colOff>285750</xdr:colOff>
      <xdr:row>208</xdr:row>
      <xdr:rowOff>495300</xdr:rowOff>
    </xdr:to>
    <xdr:sp macro="" textlink="">
      <xdr:nvSpPr>
        <xdr:cNvPr id="80" name="CaixaDeTexto 2">
          <a:extLst>
            <a:ext uri="{FF2B5EF4-FFF2-40B4-BE49-F238E27FC236}">
              <a16:creationId xmlns:a16="http://schemas.microsoft.com/office/drawing/2014/main" id="{1C3760BE-18BA-44EA-95C4-F222F9C74F29}"/>
            </a:ext>
          </a:extLst>
        </xdr:cNvPr>
        <xdr:cNvSpPr>
          <a:spLocks noChangeArrowheads="1"/>
        </xdr:cNvSpPr>
      </xdr:nvSpPr>
      <xdr:spPr bwMode="auto">
        <a:xfrm>
          <a:off x="114300" y="31269454"/>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208</xdr:row>
      <xdr:rowOff>228600</xdr:rowOff>
    </xdr:from>
    <xdr:to>
      <xdr:col>0</xdr:col>
      <xdr:colOff>847725</xdr:colOff>
      <xdr:row>208</xdr:row>
      <xdr:rowOff>495300</xdr:rowOff>
    </xdr:to>
    <xdr:sp macro="" textlink="">
      <xdr:nvSpPr>
        <xdr:cNvPr id="81" name="CaixaDeTexto 9">
          <a:extLst>
            <a:ext uri="{FF2B5EF4-FFF2-40B4-BE49-F238E27FC236}">
              <a16:creationId xmlns:a16="http://schemas.microsoft.com/office/drawing/2014/main" id="{FD380613-2307-4894-BA5D-BCE39BDF9773}"/>
            </a:ext>
          </a:extLst>
        </xdr:cNvPr>
        <xdr:cNvSpPr>
          <a:spLocks noChangeArrowheads="1"/>
        </xdr:cNvSpPr>
      </xdr:nvSpPr>
      <xdr:spPr bwMode="auto">
        <a:xfrm>
          <a:off x="828675" y="31269454"/>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208</xdr:row>
      <xdr:rowOff>228600</xdr:rowOff>
    </xdr:from>
    <xdr:to>
      <xdr:col>0</xdr:col>
      <xdr:colOff>285750</xdr:colOff>
      <xdr:row>208</xdr:row>
      <xdr:rowOff>495300</xdr:rowOff>
    </xdr:to>
    <xdr:sp macro="" textlink="">
      <xdr:nvSpPr>
        <xdr:cNvPr id="82" name="CaixaDeTexto 2">
          <a:extLst>
            <a:ext uri="{FF2B5EF4-FFF2-40B4-BE49-F238E27FC236}">
              <a16:creationId xmlns:a16="http://schemas.microsoft.com/office/drawing/2014/main" id="{DD1D032E-82C5-4253-892A-093FCF79B59F}"/>
            </a:ext>
          </a:extLst>
        </xdr:cNvPr>
        <xdr:cNvSpPr>
          <a:spLocks noChangeArrowheads="1"/>
        </xdr:cNvSpPr>
      </xdr:nvSpPr>
      <xdr:spPr bwMode="auto">
        <a:xfrm>
          <a:off x="114300" y="31269454"/>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208</xdr:row>
      <xdr:rowOff>228600</xdr:rowOff>
    </xdr:from>
    <xdr:to>
      <xdr:col>0</xdr:col>
      <xdr:colOff>847725</xdr:colOff>
      <xdr:row>208</xdr:row>
      <xdr:rowOff>495300</xdr:rowOff>
    </xdr:to>
    <xdr:sp macro="" textlink="">
      <xdr:nvSpPr>
        <xdr:cNvPr id="83" name="CaixaDeTexto 9">
          <a:extLst>
            <a:ext uri="{FF2B5EF4-FFF2-40B4-BE49-F238E27FC236}">
              <a16:creationId xmlns:a16="http://schemas.microsoft.com/office/drawing/2014/main" id="{B5C5CA1B-76DF-4D8C-A399-8B71BCE547CB}"/>
            </a:ext>
          </a:extLst>
        </xdr:cNvPr>
        <xdr:cNvSpPr>
          <a:spLocks noChangeArrowheads="1"/>
        </xdr:cNvSpPr>
      </xdr:nvSpPr>
      <xdr:spPr bwMode="auto">
        <a:xfrm>
          <a:off x="828675" y="31269454"/>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208</xdr:row>
      <xdr:rowOff>228600</xdr:rowOff>
    </xdr:from>
    <xdr:to>
      <xdr:col>0</xdr:col>
      <xdr:colOff>847725</xdr:colOff>
      <xdr:row>208</xdr:row>
      <xdr:rowOff>495300</xdr:rowOff>
    </xdr:to>
    <xdr:sp macro="" textlink="">
      <xdr:nvSpPr>
        <xdr:cNvPr id="84" name="CaixaDeTexto 9">
          <a:extLst>
            <a:ext uri="{FF2B5EF4-FFF2-40B4-BE49-F238E27FC236}">
              <a16:creationId xmlns:a16="http://schemas.microsoft.com/office/drawing/2014/main" id="{A4F53C93-5F4B-46CB-BF4B-FB69A373CF04}"/>
            </a:ext>
          </a:extLst>
        </xdr:cNvPr>
        <xdr:cNvSpPr>
          <a:spLocks noChangeArrowheads="1"/>
        </xdr:cNvSpPr>
      </xdr:nvSpPr>
      <xdr:spPr bwMode="auto">
        <a:xfrm>
          <a:off x="828675" y="31269454"/>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208</xdr:row>
      <xdr:rowOff>228600</xdr:rowOff>
    </xdr:from>
    <xdr:to>
      <xdr:col>0</xdr:col>
      <xdr:colOff>847725</xdr:colOff>
      <xdr:row>208</xdr:row>
      <xdr:rowOff>495300</xdr:rowOff>
    </xdr:to>
    <xdr:sp macro="" textlink="">
      <xdr:nvSpPr>
        <xdr:cNvPr id="85" name="CaixaDeTexto 9">
          <a:extLst>
            <a:ext uri="{FF2B5EF4-FFF2-40B4-BE49-F238E27FC236}">
              <a16:creationId xmlns:a16="http://schemas.microsoft.com/office/drawing/2014/main" id="{18B05016-EA66-4F30-82DA-69459ACAFFBF}"/>
            </a:ext>
          </a:extLst>
        </xdr:cNvPr>
        <xdr:cNvSpPr>
          <a:spLocks noChangeArrowheads="1"/>
        </xdr:cNvSpPr>
      </xdr:nvSpPr>
      <xdr:spPr bwMode="auto">
        <a:xfrm>
          <a:off x="828675" y="31269454"/>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114300</xdr:colOff>
      <xdr:row>225</xdr:row>
      <xdr:rowOff>228600</xdr:rowOff>
    </xdr:from>
    <xdr:to>
      <xdr:col>0</xdr:col>
      <xdr:colOff>285750</xdr:colOff>
      <xdr:row>225</xdr:row>
      <xdr:rowOff>495300</xdr:rowOff>
    </xdr:to>
    <xdr:sp macro="" textlink="">
      <xdr:nvSpPr>
        <xdr:cNvPr id="86" name="CaixaDeTexto 2">
          <a:extLst>
            <a:ext uri="{FF2B5EF4-FFF2-40B4-BE49-F238E27FC236}">
              <a16:creationId xmlns:a16="http://schemas.microsoft.com/office/drawing/2014/main" id="{A6DD4B04-E050-49CA-B2AF-045567295A90}"/>
            </a:ext>
          </a:extLst>
        </xdr:cNvPr>
        <xdr:cNvSpPr>
          <a:spLocks noChangeArrowheads="1"/>
        </xdr:cNvSpPr>
      </xdr:nvSpPr>
      <xdr:spPr bwMode="auto">
        <a:xfrm>
          <a:off x="114300" y="33958866"/>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225</xdr:row>
      <xdr:rowOff>228600</xdr:rowOff>
    </xdr:from>
    <xdr:to>
      <xdr:col>0</xdr:col>
      <xdr:colOff>847725</xdr:colOff>
      <xdr:row>225</xdr:row>
      <xdr:rowOff>495300</xdr:rowOff>
    </xdr:to>
    <xdr:sp macro="" textlink="">
      <xdr:nvSpPr>
        <xdr:cNvPr id="87" name="CaixaDeTexto 9">
          <a:extLst>
            <a:ext uri="{FF2B5EF4-FFF2-40B4-BE49-F238E27FC236}">
              <a16:creationId xmlns:a16="http://schemas.microsoft.com/office/drawing/2014/main" id="{54045E25-8EC1-4D99-B8F2-6783BCE12A7D}"/>
            </a:ext>
          </a:extLst>
        </xdr:cNvPr>
        <xdr:cNvSpPr>
          <a:spLocks noChangeArrowheads="1"/>
        </xdr:cNvSpPr>
      </xdr:nvSpPr>
      <xdr:spPr bwMode="auto">
        <a:xfrm>
          <a:off x="828675" y="33958866"/>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225</xdr:row>
      <xdr:rowOff>228600</xdr:rowOff>
    </xdr:from>
    <xdr:to>
      <xdr:col>0</xdr:col>
      <xdr:colOff>285750</xdr:colOff>
      <xdr:row>225</xdr:row>
      <xdr:rowOff>495300</xdr:rowOff>
    </xdr:to>
    <xdr:sp macro="" textlink="">
      <xdr:nvSpPr>
        <xdr:cNvPr id="88" name="CaixaDeTexto 2">
          <a:extLst>
            <a:ext uri="{FF2B5EF4-FFF2-40B4-BE49-F238E27FC236}">
              <a16:creationId xmlns:a16="http://schemas.microsoft.com/office/drawing/2014/main" id="{582896E8-5D16-4677-A35B-44BBF743B5F7}"/>
            </a:ext>
          </a:extLst>
        </xdr:cNvPr>
        <xdr:cNvSpPr>
          <a:spLocks noChangeArrowheads="1"/>
        </xdr:cNvSpPr>
      </xdr:nvSpPr>
      <xdr:spPr bwMode="auto">
        <a:xfrm>
          <a:off x="114300" y="33958866"/>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225</xdr:row>
      <xdr:rowOff>228600</xdr:rowOff>
    </xdr:from>
    <xdr:to>
      <xdr:col>0</xdr:col>
      <xdr:colOff>847725</xdr:colOff>
      <xdr:row>225</xdr:row>
      <xdr:rowOff>495300</xdr:rowOff>
    </xdr:to>
    <xdr:sp macro="" textlink="">
      <xdr:nvSpPr>
        <xdr:cNvPr id="89" name="CaixaDeTexto 9">
          <a:extLst>
            <a:ext uri="{FF2B5EF4-FFF2-40B4-BE49-F238E27FC236}">
              <a16:creationId xmlns:a16="http://schemas.microsoft.com/office/drawing/2014/main" id="{EBB81AAC-367E-45AB-9DB3-51BD111E01D1}"/>
            </a:ext>
          </a:extLst>
        </xdr:cNvPr>
        <xdr:cNvSpPr>
          <a:spLocks noChangeArrowheads="1"/>
        </xdr:cNvSpPr>
      </xdr:nvSpPr>
      <xdr:spPr bwMode="auto">
        <a:xfrm>
          <a:off x="828675" y="33958866"/>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225</xdr:row>
      <xdr:rowOff>228600</xdr:rowOff>
    </xdr:from>
    <xdr:to>
      <xdr:col>0</xdr:col>
      <xdr:colOff>847725</xdr:colOff>
      <xdr:row>225</xdr:row>
      <xdr:rowOff>495300</xdr:rowOff>
    </xdr:to>
    <xdr:sp macro="" textlink="">
      <xdr:nvSpPr>
        <xdr:cNvPr id="90" name="CaixaDeTexto 9">
          <a:extLst>
            <a:ext uri="{FF2B5EF4-FFF2-40B4-BE49-F238E27FC236}">
              <a16:creationId xmlns:a16="http://schemas.microsoft.com/office/drawing/2014/main" id="{0897BF7C-38AC-4E73-9EF9-DD2F54F5DD96}"/>
            </a:ext>
          </a:extLst>
        </xdr:cNvPr>
        <xdr:cNvSpPr>
          <a:spLocks noChangeArrowheads="1"/>
        </xdr:cNvSpPr>
      </xdr:nvSpPr>
      <xdr:spPr bwMode="auto">
        <a:xfrm>
          <a:off x="828675" y="33958866"/>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225</xdr:row>
      <xdr:rowOff>228600</xdr:rowOff>
    </xdr:from>
    <xdr:to>
      <xdr:col>0</xdr:col>
      <xdr:colOff>847725</xdr:colOff>
      <xdr:row>225</xdr:row>
      <xdr:rowOff>495300</xdr:rowOff>
    </xdr:to>
    <xdr:sp macro="" textlink="">
      <xdr:nvSpPr>
        <xdr:cNvPr id="91" name="CaixaDeTexto 9">
          <a:extLst>
            <a:ext uri="{FF2B5EF4-FFF2-40B4-BE49-F238E27FC236}">
              <a16:creationId xmlns:a16="http://schemas.microsoft.com/office/drawing/2014/main" id="{E90CA91C-93E0-4A65-A69C-B31BF389465E}"/>
            </a:ext>
          </a:extLst>
        </xdr:cNvPr>
        <xdr:cNvSpPr>
          <a:spLocks noChangeArrowheads="1"/>
        </xdr:cNvSpPr>
      </xdr:nvSpPr>
      <xdr:spPr bwMode="auto">
        <a:xfrm>
          <a:off x="828675" y="33958866"/>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twoCellAnchor>
    <xdr:from>
      <xdr:col>0</xdr:col>
      <xdr:colOff>114300</xdr:colOff>
      <xdr:row>242</xdr:row>
      <xdr:rowOff>228600</xdr:rowOff>
    </xdr:from>
    <xdr:to>
      <xdr:col>0</xdr:col>
      <xdr:colOff>285750</xdr:colOff>
      <xdr:row>242</xdr:row>
      <xdr:rowOff>495300</xdr:rowOff>
    </xdr:to>
    <xdr:sp macro="" textlink="">
      <xdr:nvSpPr>
        <xdr:cNvPr id="92" name="CaixaDeTexto 2">
          <a:extLst>
            <a:ext uri="{FF2B5EF4-FFF2-40B4-BE49-F238E27FC236}">
              <a16:creationId xmlns:a16="http://schemas.microsoft.com/office/drawing/2014/main" id="{91B99BE8-B1F7-49AC-84E2-8C386F964BBD}"/>
            </a:ext>
          </a:extLst>
        </xdr:cNvPr>
        <xdr:cNvSpPr>
          <a:spLocks noChangeArrowheads="1"/>
        </xdr:cNvSpPr>
      </xdr:nvSpPr>
      <xdr:spPr bwMode="auto">
        <a:xfrm>
          <a:off x="114300" y="36648278"/>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242</xdr:row>
      <xdr:rowOff>228600</xdr:rowOff>
    </xdr:from>
    <xdr:to>
      <xdr:col>0</xdr:col>
      <xdr:colOff>847725</xdr:colOff>
      <xdr:row>242</xdr:row>
      <xdr:rowOff>495300</xdr:rowOff>
    </xdr:to>
    <xdr:sp macro="" textlink="">
      <xdr:nvSpPr>
        <xdr:cNvPr id="93" name="CaixaDeTexto 9">
          <a:extLst>
            <a:ext uri="{FF2B5EF4-FFF2-40B4-BE49-F238E27FC236}">
              <a16:creationId xmlns:a16="http://schemas.microsoft.com/office/drawing/2014/main" id="{E1CF7313-2120-473F-B728-735A2D3E0758}"/>
            </a:ext>
          </a:extLst>
        </xdr:cNvPr>
        <xdr:cNvSpPr>
          <a:spLocks noChangeArrowheads="1"/>
        </xdr:cNvSpPr>
      </xdr:nvSpPr>
      <xdr:spPr bwMode="auto">
        <a:xfrm>
          <a:off x="828675" y="36648278"/>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242</xdr:row>
      <xdr:rowOff>228600</xdr:rowOff>
    </xdr:from>
    <xdr:to>
      <xdr:col>0</xdr:col>
      <xdr:colOff>285750</xdr:colOff>
      <xdr:row>242</xdr:row>
      <xdr:rowOff>495300</xdr:rowOff>
    </xdr:to>
    <xdr:sp macro="" textlink="">
      <xdr:nvSpPr>
        <xdr:cNvPr id="94" name="CaixaDeTexto 2">
          <a:extLst>
            <a:ext uri="{FF2B5EF4-FFF2-40B4-BE49-F238E27FC236}">
              <a16:creationId xmlns:a16="http://schemas.microsoft.com/office/drawing/2014/main" id="{0A74C9B8-1D1B-490A-B707-D25DA1D8548B}"/>
            </a:ext>
          </a:extLst>
        </xdr:cNvPr>
        <xdr:cNvSpPr>
          <a:spLocks noChangeArrowheads="1"/>
        </xdr:cNvSpPr>
      </xdr:nvSpPr>
      <xdr:spPr bwMode="auto">
        <a:xfrm>
          <a:off x="114300" y="36648278"/>
          <a:ext cx="17145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242</xdr:row>
      <xdr:rowOff>228600</xdr:rowOff>
    </xdr:from>
    <xdr:to>
      <xdr:col>0</xdr:col>
      <xdr:colOff>847725</xdr:colOff>
      <xdr:row>242</xdr:row>
      <xdr:rowOff>495300</xdr:rowOff>
    </xdr:to>
    <xdr:sp macro="" textlink="">
      <xdr:nvSpPr>
        <xdr:cNvPr id="95" name="CaixaDeTexto 9">
          <a:extLst>
            <a:ext uri="{FF2B5EF4-FFF2-40B4-BE49-F238E27FC236}">
              <a16:creationId xmlns:a16="http://schemas.microsoft.com/office/drawing/2014/main" id="{00AD016A-F6F1-44B8-A4D4-4CFEA326F907}"/>
            </a:ext>
          </a:extLst>
        </xdr:cNvPr>
        <xdr:cNvSpPr>
          <a:spLocks noChangeArrowheads="1"/>
        </xdr:cNvSpPr>
      </xdr:nvSpPr>
      <xdr:spPr bwMode="auto">
        <a:xfrm>
          <a:off x="828675" y="36648278"/>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242</xdr:row>
      <xdr:rowOff>228600</xdr:rowOff>
    </xdr:from>
    <xdr:to>
      <xdr:col>0</xdr:col>
      <xdr:colOff>847725</xdr:colOff>
      <xdr:row>242</xdr:row>
      <xdr:rowOff>495300</xdr:rowOff>
    </xdr:to>
    <xdr:sp macro="" textlink="">
      <xdr:nvSpPr>
        <xdr:cNvPr id="96" name="CaixaDeTexto 9">
          <a:extLst>
            <a:ext uri="{FF2B5EF4-FFF2-40B4-BE49-F238E27FC236}">
              <a16:creationId xmlns:a16="http://schemas.microsoft.com/office/drawing/2014/main" id="{6807D1FA-652F-4693-8FE3-B1C8109C487D}"/>
            </a:ext>
          </a:extLst>
        </xdr:cNvPr>
        <xdr:cNvSpPr>
          <a:spLocks noChangeArrowheads="1"/>
        </xdr:cNvSpPr>
      </xdr:nvSpPr>
      <xdr:spPr bwMode="auto">
        <a:xfrm>
          <a:off x="828675" y="36648278"/>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242</xdr:row>
      <xdr:rowOff>228600</xdr:rowOff>
    </xdr:from>
    <xdr:to>
      <xdr:col>0</xdr:col>
      <xdr:colOff>847725</xdr:colOff>
      <xdr:row>242</xdr:row>
      <xdr:rowOff>495300</xdr:rowOff>
    </xdr:to>
    <xdr:sp macro="" textlink="">
      <xdr:nvSpPr>
        <xdr:cNvPr id="97" name="CaixaDeTexto 9">
          <a:extLst>
            <a:ext uri="{FF2B5EF4-FFF2-40B4-BE49-F238E27FC236}">
              <a16:creationId xmlns:a16="http://schemas.microsoft.com/office/drawing/2014/main" id="{926E97F6-F897-48E2-BEA0-BEEBA5F7413F}"/>
            </a:ext>
          </a:extLst>
        </xdr:cNvPr>
        <xdr:cNvSpPr>
          <a:spLocks noChangeArrowheads="1"/>
        </xdr:cNvSpPr>
      </xdr:nvSpPr>
      <xdr:spPr bwMode="auto">
        <a:xfrm>
          <a:off x="828675" y="36648278"/>
          <a:ext cx="0" cy="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pt-B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114300</xdr:colOff>
      <xdr:row>2</xdr:row>
      <xdr:rowOff>228600</xdr:rowOff>
    </xdr:from>
    <xdr:to>
      <xdr:col>0</xdr:col>
      <xdr:colOff>285750</xdr:colOff>
      <xdr:row>2</xdr:row>
      <xdr:rowOff>495300</xdr:rowOff>
    </xdr:to>
    <xdr:sp macro="" textlink="">
      <xdr:nvSpPr>
        <xdr:cNvPr id="7" name="CaixaDeTexto 2">
          <a:extLst>
            <a:ext uri="{FF2B5EF4-FFF2-40B4-BE49-F238E27FC236}">
              <a16:creationId xmlns:a16="http://schemas.microsoft.com/office/drawing/2014/main" id="{00000000-0008-0000-0200-000007000000}"/>
            </a:ext>
          </a:extLst>
        </xdr:cNvPr>
        <xdr:cNvSpPr>
          <a:spLocks noChangeArrowheads="1"/>
        </xdr:cNvSpPr>
      </xdr:nvSpPr>
      <xdr:spPr bwMode="auto">
        <a:xfrm>
          <a:off x="114300" y="1962150"/>
          <a:ext cx="171450" cy="190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2</xdr:row>
      <xdr:rowOff>228600</xdr:rowOff>
    </xdr:from>
    <xdr:to>
      <xdr:col>0</xdr:col>
      <xdr:colOff>847725</xdr:colOff>
      <xdr:row>2</xdr:row>
      <xdr:rowOff>495300</xdr:rowOff>
    </xdr:to>
    <xdr:sp macro="" textlink="">
      <xdr:nvSpPr>
        <xdr:cNvPr id="8" name="CaixaDeTexto 9">
          <a:extLst>
            <a:ext uri="{FF2B5EF4-FFF2-40B4-BE49-F238E27FC236}">
              <a16:creationId xmlns:a16="http://schemas.microsoft.com/office/drawing/2014/main" id="{00000000-0008-0000-0200-000008000000}"/>
            </a:ext>
          </a:extLst>
        </xdr:cNvPr>
        <xdr:cNvSpPr>
          <a:spLocks noChangeArrowheads="1"/>
        </xdr:cNvSpPr>
      </xdr:nvSpPr>
      <xdr:spPr bwMode="auto">
        <a:xfrm>
          <a:off x="600075" y="1962150"/>
          <a:ext cx="0" cy="190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28</xdr:row>
      <xdr:rowOff>228600</xdr:rowOff>
    </xdr:from>
    <xdr:to>
      <xdr:col>0</xdr:col>
      <xdr:colOff>285750</xdr:colOff>
      <xdr:row>28</xdr:row>
      <xdr:rowOff>495300</xdr:rowOff>
    </xdr:to>
    <xdr:sp macro="" textlink="">
      <xdr:nvSpPr>
        <xdr:cNvPr id="9" name="CaixaDeTexto 2">
          <a:extLst>
            <a:ext uri="{FF2B5EF4-FFF2-40B4-BE49-F238E27FC236}">
              <a16:creationId xmlns:a16="http://schemas.microsoft.com/office/drawing/2014/main" id="{00000000-0008-0000-0200-000009000000}"/>
            </a:ext>
          </a:extLst>
        </xdr:cNvPr>
        <xdr:cNvSpPr>
          <a:spLocks noChangeArrowheads="1"/>
        </xdr:cNvSpPr>
      </xdr:nvSpPr>
      <xdr:spPr bwMode="auto">
        <a:xfrm>
          <a:off x="114300" y="14592300"/>
          <a:ext cx="171450" cy="190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28</xdr:row>
      <xdr:rowOff>228600</xdr:rowOff>
    </xdr:from>
    <xdr:to>
      <xdr:col>0</xdr:col>
      <xdr:colOff>847725</xdr:colOff>
      <xdr:row>28</xdr:row>
      <xdr:rowOff>495300</xdr:rowOff>
    </xdr:to>
    <xdr:sp macro="" textlink="">
      <xdr:nvSpPr>
        <xdr:cNvPr id="10" name="CaixaDeTexto 9">
          <a:extLst>
            <a:ext uri="{FF2B5EF4-FFF2-40B4-BE49-F238E27FC236}">
              <a16:creationId xmlns:a16="http://schemas.microsoft.com/office/drawing/2014/main" id="{00000000-0008-0000-0200-00000A000000}"/>
            </a:ext>
          </a:extLst>
        </xdr:cNvPr>
        <xdr:cNvSpPr>
          <a:spLocks noChangeArrowheads="1"/>
        </xdr:cNvSpPr>
      </xdr:nvSpPr>
      <xdr:spPr bwMode="auto">
        <a:xfrm>
          <a:off x="600075" y="14592300"/>
          <a:ext cx="0" cy="190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53</xdr:row>
      <xdr:rowOff>228600</xdr:rowOff>
    </xdr:from>
    <xdr:to>
      <xdr:col>0</xdr:col>
      <xdr:colOff>285750</xdr:colOff>
      <xdr:row>53</xdr:row>
      <xdr:rowOff>495300</xdr:rowOff>
    </xdr:to>
    <xdr:sp macro="" textlink="">
      <xdr:nvSpPr>
        <xdr:cNvPr id="13" name="CaixaDeTexto 2">
          <a:extLst>
            <a:ext uri="{FF2B5EF4-FFF2-40B4-BE49-F238E27FC236}">
              <a16:creationId xmlns:a16="http://schemas.microsoft.com/office/drawing/2014/main" id="{00000000-0008-0000-0200-00000D000000}"/>
            </a:ext>
          </a:extLst>
        </xdr:cNvPr>
        <xdr:cNvSpPr>
          <a:spLocks noChangeArrowheads="1"/>
        </xdr:cNvSpPr>
      </xdr:nvSpPr>
      <xdr:spPr bwMode="auto">
        <a:xfrm>
          <a:off x="114300" y="25736550"/>
          <a:ext cx="171450" cy="190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53</xdr:row>
      <xdr:rowOff>228600</xdr:rowOff>
    </xdr:from>
    <xdr:to>
      <xdr:col>0</xdr:col>
      <xdr:colOff>847725</xdr:colOff>
      <xdr:row>53</xdr:row>
      <xdr:rowOff>495300</xdr:rowOff>
    </xdr:to>
    <xdr:sp macro="" textlink="">
      <xdr:nvSpPr>
        <xdr:cNvPr id="14" name="CaixaDeTexto 9">
          <a:extLst>
            <a:ext uri="{FF2B5EF4-FFF2-40B4-BE49-F238E27FC236}">
              <a16:creationId xmlns:a16="http://schemas.microsoft.com/office/drawing/2014/main" id="{00000000-0008-0000-0200-00000E000000}"/>
            </a:ext>
          </a:extLst>
        </xdr:cNvPr>
        <xdr:cNvSpPr>
          <a:spLocks noChangeArrowheads="1"/>
        </xdr:cNvSpPr>
      </xdr:nvSpPr>
      <xdr:spPr bwMode="auto">
        <a:xfrm>
          <a:off x="600075" y="25736550"/>
          <a:ext cx="0" cy="190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114300</xdr:colOff>
      <xdr:row>78</xdr:row>
      <xdr:rowOff>228600</xdr:rowOff>
    </xdr:from>
    <xdr:to>
      <xdr:col>0</xdr:col>
      <xdr:colOff>285750</xdr:colOff>
      <xdr:row>78</xdr:row>
      <xdr:rowOff>495300</xdr:rowOff>
    </xdr:to>
    <xdr:sp macro="" textlink="">
      <xdr:nvSpPr>
        <xdr:cNvPr id="17" name="CaixaDeTexto 2">
          <a:extLst>
            <a:ext uri="{FF2B5EF4-FFF2-40B4-BE49-F238E27FC236}">
              <a16:creationId xmlns:a16="http://schemas.microsoft.com/office/drawing/2014/main" id="{00000000-0008-0000-0200-000011000000}"/>
            </a:ext>
          </a:extLst>
        </xdr:cNvPr>
        <xdr:cNvSpPr>
          <a:spLocks noChangeArrowheads="1"/>
        </xdr:cNvSpPr>
      </xdr:nvSpPr>
      <xdr:spPr bwMode="auto">
        <a:xfrm>
          <a:off x="114300" y="31680150"/>
          <a:ext cx="171450" cy="190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1809750</xdr:colOff>
      <xdr:row>78</xdr:row>
      <xdr:rowOff>228600</xdr:rowOff>
    </xdr:from>
    <xdr:to>
      <xdr:col>0</xdr:col>
      <xdr:colOff>847725</xdr:colOff>
      <xdr:row>78</xdr:row>
      <xdr:rowOff>495300</xdr:rowOff>
    </xdr:to>
    <xdr:sp macro="" textlink="">
      <xdr:nvSpPr>
        <xdr:cNvPr id="18" name="CaixaDeTexto 9">
          <a:extLst>
            <a:ext uri="{FF2B5EF4-FFF2-40B4-BE49-F238E27FC236}">
              <a16:creationId xmlns:a16="http://schemas.microsoft.com/office/drawing/2014/main" id="{00000000-0008-0000-0200-000012000000}"/>
            </a:ext>
          </a:extLst>
        </xdr:cNvPr>
        <xdr:cNvSpPr>
          <a:spLocks noChangeArrowheads="1"/>
        </xdr:cNvSpPr>
      </xdr:nvSpPr>
      <xdr:spPr bwMode="auto">
        <a:xfrm>
          <a:off x="600075" y="31680150"/>
          <a:ext cx="0" cy="190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209550</xdr:colOff>
      <xdr:row>1</xdr:row>
      <xdr:rowOff>76200</xdr:rowOff>
    </xdr:from>
    <xdr:to>
      <xdr:col>5</xdr:col>
      <xdr:colOff>381000</xdr:colOff>
      <xdr:row>2</xdr:row>
      <xdr:rowOff>161925</xdr:rowOff>
    </xdr:to>
    <xdr:sp macro="" textlink="">
      <xdr:nvSpPr>
        <xdr:cNvPr id="2" name="CaixaDeTexto 2">
          <a:extLst>
            <a:ext uri="{FF2B5EF4-FFF2-40B4-BE49-F238E27FC236}">
              <a16:creationId xmlns:a16="http://schemas.microsoft.com/office/drawing/2014/main" id="{00000000-0008-0000-0100-000002000000}"/>
            </a:ext>
          </a:extLst>
        </xdr:cNvPr>
        <xdr:cNvSpPr>
          <a:spLocks noChangeArrowheads="1"/>
        </xdr:cNvSpPr>
      </xdr:nvSpPr>
      <xdr:spPr bwMode="auto">
        <a:xfrm>
          <a:off x="5705475" y="285750"/>
          <a:ext cx="171450" cy="10858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209550</xdr:colOff>
      <xdr:row>1</xdr:row>
      <xdr:rowOff>76200</xdr:rowOff>
    </xdr:from>
    <xdr:to>
      <xdr:col>5</xdr:col>
      <xdr:colOff>381000</xdr:colOff>
      <xdr:row>2</xdr:row>
      <xdr:rowOff>161925</xdr:rowOff>
    </xdr:to>
    <xdr:sp macro="" textlink="">
      <xdr:nvSpPr>
        <xdr:cNvPr id="3" name="CaixaDeTexto 2">
          <a:extLst>
            <a:ext uri="{FF2B5EF4-FFF2-40B4-BE49-F238E27FC236}">
              <a16:creationId xmlns:a16="http://schemas.microsoft.com/office/drawing/2014/main" id="{00000000-0008-0000-0100-000003000000}"/>
            </a:ext>
          </a:extLst>
        </xdr:cNvPr>
        <xdr:cNvSpPr>
          <a:spLocks noChangeArrowheads="1"/>
        </xdr:cNvSpPr>
      </xdr:nvSpPr>
      <xdr:spPr bwMode="auto">
        <a:xfrm>
          <a:off x="5705475" y="285750"/>
          <a:ext cx="171450" cy="10858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209550</xdr:colOff>
      <xdr:row>1</xdr:row>
      <xdr:rowOff>76200</xdr:rowOff>
    </xdr:from>
    <xdr:to>
      <xdr:col>5</xdr:col>
      <xdr:colOff>381000</xdr:colOff>
      <xdr:row>2</xdr:row>
      <xdr:rowOff>161925</xdr:rowOff>
    </xdr:to>
    <xdr:sp macro="" textlink="">
      <xdr:nvSpPr>
        <xdr:cNvPr id="4" name="CaixaDeTexto 2">
          <a:extLst>
            <a:ext uri="{FF2B5EF4-FFF2-40B4-BE49-F238E27FC236}">
              <a16:creationId xmlns:a16="http://schemas.microsoft.com/office/drawing/2014/main" id="{00000000-0008-0000-0100-000004000000}"/>
            </a:ext>
          </a:extLst>
        </xdr:cNvPr>
        <xdr:cNvSpPr>
          <a:spLocks noChangeArrowheads="1"/>
        </xdr:cNvSpPr>
      </xdr:nvSpPr>
      <xdr:spPr bwMode="auto">
        <a:xfrm>
          <a:off x="5705475" y="285750"/>
          <a:ext cx="171450" cy="10858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209550</xdr:colOff>
      <xdr:row>1</xdr:row>
      <xdr:rowOff>76200</xdr:rowOff>
    </xdr:from>
    <xdr:to>
      <xdr:col>5</xdr:col>
      <xdr:colOff>381000</xdr:colOff>
      <xdr:row>2</xdr:row>
      <xdr:rowOff>161925</xdr:rowOff>
    </xdr:to>
    <xdr:sp macro="" textlink="">
      <xdr:nvSpPr>
        <xdr:cNvPr id="5" name="CaixaDeTexto 2">
          <a:extLst>
            <a:ext uri="{FF2B5EF4-FFF2-40B4-BE49-F238E27FC236}">
              <a16:creationId xmlns:a16="http://schemas.microsoft.com/office/drawing/2014/main" id="{00000000-0008-0000-0100-000005000000}"/>
            </a:ext>
          </a:extLst>
        </xdr:cNvPr>
        <xdr:cNvSpPr>
          <a:spLocks noChangeArrowheads="1"/>
        </xdr:cNvSpPr>
      </xdr:nvSpPr>
      <xdr:spPr bwMode="auto">
        <a:xfrm>
          <a:off x="5705475" y="285750"/>
          <a:ext cx="171450" cy="108585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8.xml><?xml version="1.0" encoding="utf-8"?>
<xdr:wsDr xmlns:xdr="http://schemas.openxmlformats.org/drawingml/2006/spreadsheetDrawing" xmlns:a="http://schemas.openxmlformats.org/drawingml/2006/main">
  <xdr:oneCellAnchor>
    <xdr:from>
      <xdr:col>5</xdr:col>
      <xdr:colOff>327212</xdr:colOff>
      <xdr:row>9</xdr:row>
      <xdr:rowOff>29696</xdr:rowOff>
    </xdr:from>
    <xdr:ext cx="6009524" cy="4047619"/>
    <xdr:pic>
      <xdr:nvPicPr>
        <xdr:cNvPr id="2" name="Imagem 1">
          <a:extLst>
            <a:ext uri="{FF2B5EF4-FFF2-40B4-BE49-F238E27FC236}">
              <a16:creationId xmlns:a16="http://schemas.microsoft.com/office/drawing/2014/main" id="{1089440B-AC96-46A8-8BFA-B432FEAB0F03}"/>
            </a:ext>
          </a:extLst>
        </xdr:cNvPr>
        <xdr:cNvPicPr>
          <a:picLocks noChangeAspect="1"/>
        </xdr:cNvPicPr>
      </xdr:nvPicPr>
      <xdr:blipFill>
        <a:blip xmlns:r="http://schemas.openxmlformats.org/officeDocument/2006/relationships" r:embed="rId1"/>
        <a:stretch>
          <a:fillRect/>
        </a:stretch>
      </xdr:blipFill>
      <xdr:spPr>
        <a:xfrm>
          <a:off x="3375212" y="1744196"/>
          <a:ext cx="6009524" cy="4047619"/>
        </a:xfrm>
        <a:prstGeom prst="rect">
          <a:avLst/>
        </a:prstGeom>
      </xdr:spPr>
    </xdr:pic>
    <xdr:clientData/>
  </xdr:oneCellAnchor>
  <xdr:oneCellAnchor>
    <xdr:from>
      <xdr:col>5</xdr:col>
      <xdr:colOff>476250</xdr:colOff>
      <xdr:row>26</xdr:row>
      <xdr:rowOff>19050</xdr:rowOff>
    </xdr:from>
    <xdr:ext cx="5971429" cy="4714286"/>
    <xdr:pic>
      <xdr:nvPicPr>
        <xdr:cNvPr id="3" name="Imagem 2">
          <a:extLst>
            <a:ext uri="{FF2B5EF4-FFF2-40B4-BE49-F238E27FC236}">
              <a16:creationId xmlns:a16="http://schemas.microsoft.com/office/drawing/2014/main" id="{FB0BE64C-9509-489C-B56C-5698E6C7017F}"/>
            </a:ext>
          </a:extLst>
        </xdr:cNvPr>
        <xdr:cNvPicPr>
          <a:picLocks noChangeAspect="1"/>
        </xdr:cNvPicPr>
      </xdr:nvPicPr>
      <xdr:blipFill>
        <a:blip xmlns:r="http://schemas.openxmlformats.org/officeDocument/2006/relationships" r:embed="rId2"/>
        <a:stretch>
          <a:fillRect/>
        </a:stretch>
      </xdr:blipFill>
      <xdr:spPr>
        <a:xfrm>
          <a:off x="3524250" y="4972050"/>
          <a:ext cx="5971429" cy="4714286"/>
        </a:xfrm>
        <a:prstGeom prst="rect">
          <a:avLst/>
        </a:prstGeom>
      </xdr:spPr>
    </xdr:pic>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www.gov.br/dnit/pt-br/assuntos/planejamento-e-pesquisa/custos-e-pagamentos/custos-e-pagamentos-dnit/engenharia-consultiva/tabela-de-precos-de-consultoria-resolucao-no-11-2020/resolucao-11-2020.pdf" TargetMode="Externa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hyperlink" Target="https://www.gov.br/dnit/pt-br/assuntos/planejamento-e-pesquisa/custos-e-pagamentos/custos-e-pagamentos-dnit/engenharia-consultiva/tabela-de-precos-de-consultoria-resolucao-no-11-2020/resolucao-11-2020.pdf"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T161"/>
  <sheetViews>
    <sheetView showGridLines="0" tabSelected="1" zoomScaleNormal="100" zoomScaleSheetLayoutView="55" workbookViewId="0">
      <selection activeCell="C12" sqref="C12"/>
    </sheetView>
  </sheetViews>
  <sheetFormatPr defaultColWidth="8.6640625" defaultRowHeight="15"/>
  <cols>
    <col min="1" max="1" width="10.109375" style="120" customWidth="1"/>
    <col min="2" max="2" width="71" style="4" customWidth="1"/>
    <col min="3" max="3" width="16.6640625" style="5" customWidth="1"/>
    <col min="4" max="4" width="13.6640625" style="4" customWidth="1"/>
    <col min="5" max="5" width="17.33203125" style="4" customWidth="1"/>
    <col min="6" max="6" width="23.109375" style="5" customWidth="1"/>
    <col min="7" max="7" width="29" style="4" bestFit="1" customWidth="1"/>
    <col min="8" max="8" width="14.6640625" style="129" bestFit="1" customWidth="1"/>
    <col min="9" max="98" width="8.6640625" style="129"/>
    <col min="99" max="16384" width="8.6640625" style="121"/>
  </cols>
  <sheetData>
    <row r="1" spans="1:98">
      <c r="B1" s="229"/>
      <c r="D1" s="229"/>
      <c r="E1" s="229"/>
      <c r="G1" s="229"/>
    </row>
    <row r="2" spans="1:98">
      <c r="B2" s="229"/>
      <c r="D2" s="229"/>
      <c r="E2" s="229"/>
      <c r="G2" s="229"/>
    </row>
    <row r="3" spans="1:98">
      <c r="B3" s="229"/>
      <c r="D3" s="229"/>
      <c r="E3" s="229"/>
      <c r="G3" s="229"/>
    </row>
    <row r="4" spans="1:98" s="168" customFormat="1">
      <c r="A4" s="164"/>
      <c r="B4" s="165"/>
      <c r="C4" s="166"/>
      <c r="D4" s="165"/>
      <c r="E4" s="165"/>
      <c r="F4" s="166"/>
      <c r="G4" s="165"/>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c r="AW4" s="167"/>
      <c r="AX4" s="167"/>
      <c r="AY4" s="167"/>
      <c r="AZ4" s="167"/>
      <c r="BA4" s="167"/>
      <c r="BB4" s="167"/>
      <c r="BC4" s="167"/>
      <c r="BD4" s="167"/>
      <c r="BE4" s="167"/>
      <c r="BF4" s="167"/>
      <c r="BG4" s="167"/>
      <c r="BH4" s="167"/>
      <c r="BI4" s="167"/>
      <c r="BJ4" s="167"/>
      <c r="BK4" s="167"/>
      <c r="BL4" s="167"/>
      <c r="BM4" s="167"/>
      <c r="BN4" s="167"/>
      <c r="BO4" s="167"/>
      <c r="BP4" s="167"/>
      <c r="BQ4" s="167"/>
      <c r="BR4" s="167"/>
      <c r="BS4" s="167"/>
      <c r="BT4" s="167"/>
      <c r="BU4" s="167"/>
      <c r="BV4" s="167"/>
      <c r="BW4" s="167"/>
      <c r="BX4" s="167"/>
      <c r="BY4" s="167"/>
      <c r="BZ4" s="167"/>
      <c r="CA4" s="167"/>
      <c r="CB4" s="167"/>
      <c r="CC4" s="167"/>
      <c r="CD4" s="167"/>
      <c r="CE4" s="167"/>
      <c r="CF4" s="167"/>
      <c r="CG4" s="167"/>
      <c r="CH4" s="167"/>
      <c r="CI4" s="167"/>
      <c r="CJ4" s="167"/>
      <c r="CK4" s="167"/>
      <c r="CL4" s="167"/>
      <c r="CM4" s="167"/>
      <c r="CN4" s="167"/>
      <c r="CO4" s="167"/>
      <c r="CP4" s="167"/>
      <c r="CQ4" s="167"/>
      <c r="CR4" s="167"/>
      <c r="CS4" s="167"/>
      <c r="CT4" s="167"/>
    </row>
    <row r="5" spans="1:98" s="168" customFormat="1" ht="17.399999999999999">
      <c r="A5" s="313" t="s">
        <v>325</v>
      </c>
      <c r="B5" s="253"/>
      <c r="C5" s="166"/>
      <c r="D5" s="253"/>
      <c r="E5" s="253"/>
      <c r="F5" s="166"/>
      <c r="G5" s="253"/>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c r="AW5" s="167"/>
      <c r="AX5" s="167"/>
      <c r="AY5" s="167"/>
      <c r="AZ5" s="167"/>
      <c r="BA5" s="167"/>
      <c r="BB5" s="167"/>
      <c r="BC5" s="167"/>
      <c r="BD5" s="167"/>
      <c r="BE5" s="167"/>
      <c r="BF5" s="167"/>
      <c r="BG5" s="167"/>
      <c r="BH5" s="167"/>
      <c r="BI5" s="167"/>
      <c r="BJ5" s="167"/>
      <c r="BK5" s="167"/>
      <c r="BL5" s="167"/>
      <c r="BM5" s="167"/>
      <c r="BN5" s="167"/>
      <c r="BO5" s="167"/>
      <c r="BP5" s="167"/>
      <c r="BQ5" s="167"/>
      <c r="BR5" s="167"/>
      <c r="BS5" s="167"/>
      <c r="BT5" s="167"/>
      <c r="BU5" s="167"/>
      <c r="BV5" s="167"/>
      <c r="BW5" s="167"/>
      <c r="BX5" s="167"/>
      <c r="BY5" s="167"/>
      <c r="BZ5" s="167"/>
      <c r="CA5" s="167"/>
      <c r="CB5" s="167"/>
      <c r="CC5" s="167"/>
      <c r="CD5" s="167"/>
      <c r="CE5" s="167"/>
      <c r="CF5" s="167"/>
      <c r="CG5" s="167"/>
      <c r="CH5" s="167"/>
      <c r="CI5" s="167"/>
      <c r="CJ5" s="167"/>
      <c r="CK5" s="167"/>
      <c r="CL5" s="167"/>
      <c r="CM5" s="167"/>
      <c r="CN5" s="167"/>
      <c r="CO5" s="167"/>
      <c r="CP5" s="167"/>
      <c r="CQ5" s="167"/>
      <c r="CR5" s="167"/>
      <c r="CS5" s="167"/>
      <c r="CT5" s="167"/>
    </row>
    <row r="6" spans="1:98" s="118" customFormat="1" ht="17.399999999999999">
      <c r="B6" s="130"/>
      <c r="C6" s="131"/>
      <c r="D6" s="130"/>
      <c r="E6" s="130"/>
      <c r="F6" s="131"/>
      <c r="G6" s="130"/>
      <c r="H6" s="151"/>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c r="AX6" s="119"/>
      <c r="AY6" s="119"/>
      <c r="AZ6" s="119"/>
      <c r="BA6" s="119"/>
      <c r="BB6" s="119"/>
      <c r="BC6" s="119"/>
      <c r="BD6" s="119"/>
      <c r="BE6" s="119"/>
      <c r="BF6" s="119"/>
      <c r="BG6" s="119"/>
      <c r="BH6" s="119"/>
      <c r="BI6" s="119"/>
      <c r="BJ6" s="119"/>
      <c r="BK6" s="119"/>
      <c r="BL6" s="119"/>
      <c r="BM6" s="119"/>
      <c r="BN6" s="119"/>
      <c r="BO6" s="119"/>
      <c r="BP6" s="119"/>
      <c r="BQ6" s="119"/>
      <c r="BR6" s="119"/>
      <c r="BS6" s="119"/>
      <c r="BT6" s="119"/>
      <c r="BU6" s="119"/>
      <c r="BV6" s="119"/>
      <c r="BW6" s="119"/>
      <c r="BX6" s="119"/>
      <c r="BY6" s="119"/>
      <c r="BZ6" s="119"/>
      <c r="CA6" s="119"/>
      <c r="CB6" s="119"/>
      <c r="CC6" s="119"/>
      <c r="CD6" s="119"/>
      <c r="CE6" s="119"/>
      <c r="CF6" s="119"/>
      <c r="CG6" s="119"/>
      <c r="CH6" s="119"/>
      <c r="CI6" s="119"/>
      <c r="CJ6" s="119"/>
      <c r="CK6" s="119"/>
      <c r="CL6" s="119"/>
      <c r="CM6" s="119"/>
      <c r="CN6" s="119"/>
      <c r="CO6" s="119"/>
      <c r="CP6" s="119"/>
      <c r="CQ6" s="119"/>
      <c r="CR6" s="119"/>
      <c r="CS6" s="119"/>
      <c r="CT6" s="119"/>
    </row>
    <row r="7" spans="1:98" s="120" customFormat="1" ht="16.5" customHeight="1">
      <c r="A7" s="326" t="str">
        <f>'Relatorios por grupo de produto'!A96</f>
        <v xml:space="preserve">Resumo do orçamento referencial   - Anual </v>
      </c>
      <c r="B7" s="326"/>
      <c r="C7" s="326"/>
      <c r="D7" s="326"/>
      <c r="E7" s="146"/>
      <c r="F7" s="3"/>
      <c r="G7" s="2"/>
      <c r="H7" s="129"/>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c r="AP7" s="129"/>
      <c r="AQ7" s="129"/>
      <c r="AR7" s="129"/>
      <c r="AS7" s="129"/>
      <c r="AT7" s="129"/>
      <c r="AU7" s="129"/>
      <c r="AV7" s="129"/>
      <c r="AW7" s="129"/>
      <c r="AX7" s="129"/>
      <c r="AY7" s="129"/>
      <c r="AZ7" s="129"/>
      <c r="BA7" s="129"/>
      <c r="BB7" s="129"/>
      <c r="BC7" s="129"/>
      <c r="BD7" s="129"/>
      <c r="BE7" s="129"/>
      <c r="BF7" s="129"/>
      <c r="BG7" s="129"/>
      <c r="BH7" s="129"/>
      <c r="BI7" s="129"/>
      <c r="BJ7" s="129"/>
      <c r="BK7" s="129"/>
      <c r="BL7" s="129"/>
      <c r="BM7" s="129"/>
      <c r="BN7" s="129"/>
      <c r="BO7" s="129"/>
      <c r="BP7" s="129"/>
      <c r="BQ7" s="129"/>
      <c r="BR7" s="129"/>
      <c r="BS7" s="129"/>
      <c r="BT7" s="129"/>
      <c r="BU7" s="129"/>
      <c r="BV7" s="129"/>
      <c r="BW7" s="129"/>
      <c r="BX7" s="129"/>
      <c r="BY7" s="129"/>
      <c r="BZ7" s="129"/>
      <c r="CA7" s="129"/>
      <c r="CB7" s="129"/>
      <c r="CC7" s="129"/>
      <c r="CD7" s="129"/>
      <c r="CE7" s="129"/>
      <c r="CF7" s="129"/>
      <c r="CG7" s="129"/>
      <c r="CH7" s="129"/>
      <c r="CI7" s="129"/>
      <c r="CJ7" s="129"/>
      <c r="CK7" s="129"/>
      <c r="CL7" s="129"/>
      <c r="CM7" s="129"/>
      <c r="CN7" s="129"/>
      <c r="CO7" s="129"/>
      <c r="CP7" s="129"/>
      <c r="CQ7" s="129"/>
      <c r="CR7" s="129"/>
      <c r="CS7" s="129"/>
      <c r="CT7" s="129"/>
    </row>
    <row r="8" spans="1:98" s="120" customFormat="1" ht="15.75" customHeight="1">
      <c r="A8" s="325" t="str">
        <f>'Relatorios por grupo de produto'!A97</f>
        <v>Código</v>
      </c>
      <c r="B8" s="325" t="str">
        <f>'Relatorios por grupo de produto'!B97</f>
        <v>Descrição</v>
      </c>
      <c r="C8" s="325" t="s">
        <v>313</v>
      </c>
      <c r="D8" s="320" t="s">
        <v>328</v>
      </c>
      <c r="E8" s="318"/>
      <c r="F8" s="3"/>
      <c r="G8" s="2"/>
      <c r="H8" s="129"/>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29"/>
      <c r="AV8" s="129"/>
      <c r="AW8" s="129"/>
      <c r="AX8" s="129"/>
      <c r="AY8" s="129"/>
      <c r="AZ8" s="129"/>
      <c r="BA8" s="129"/>
      <c r="BB8" s="129"/>
      <c r="BC8" s="129"/>
      <c r="BD8" s="129"/>
      <c r="BE8" s="129"/>
      <c r="BF8" s="129"/>
      <c r="BG8" s="129"/>
      <c r="BH8" s="129"/>
      <c r="BI8" s="129"/>
      <c r="BJ8" s="129"/>
      <c r="BK8" s="129"/>
      <c r="BL8" s="129"/>
      <c r="BM8" s="129"/>
      <c r="BN8" s="129"/>
      <c r="BO8" s="129"/>
      <c r="BP8" s="129"/>
      <c r="BQ8" s="129"/>
      <c r="BR8" s="129"/>
      <c r="BS8" s="129"/>
      <c r="BT8" s="129"/>
      <c r="BU8" s="129"/>
      <c r="BV8" s="129"/>
      <c r="BW8" s="129"/>
      <c r="BX8" s="129"/>
      <c r="BY8" s="129"/>
      <c r="BZ8" s="129"/>
      <c r="CA8" s="129"/>
      <c r="CB8" s="129"/>
      <c r="CC8" s="129"/>
      <c r="CD8" s="129"/>
      <c r="CE8" s="129"/>
      <c r="CF8" s="129"/>
      <c r="CG8" s="129"/>
      <c r="CH8" s="129"/>
      <c r="CI8" s="129"/>
      <c r="CJ8" s="129"/>
      <c r="CK8" s="129"/>
      <c r="CL8" s="129"/>
      <c r="CM8" s="129"/>
      <c r="CN8" s="129"/>
      <c r="CO8" s="129"/>
      <c r="CP8" s="129"/>
      <c r="CQ8" s="129"/>
      <c r="CR8" s="129"/>
      <c r="CS8" s="129"/>
      <c r="CT8" s="129"/>
    </row>
    <row r="9" spans="1:98" s="120" customFormat="1">
      <c r="A9" s="325">
        <f>'Relatorios por grupo de produto'!A98</f>
        <v>0</v>
      </c>
      <c r="B9" s="325">
        <f>'Relatorios por grupo de produto'!B98</f>
        <v>0</v>
      </c>
      <c r="C9" s="325">
        <f>'Relatorios por grupo de produto'!D98</f>
        <v>0</v>
      </c>
      <c r="D9" s="319" t="str">
        <f>'Relatorios por grupo de produto'!F98</f>
        <v>Anual</v>
      </c>
      <c r="F9" s="3"/>
      <c r="G9" s="2"/>
      <c r="H9" s="129"/>
      <c r="I9" s="129"/>
      <c r="J9" s="129"/>
      <c r="K9" s="129"/>
      <c r="L9" s="129"/>
      <c r="M9" s="129"/>
      <c r="N9" s="129"/>
      <c r="O9" s="129"/>
      <c r="P9" s="129"/>
      <c r="Q9" s="129"/>
      <c r="R9" s="129"/>
      <c r="S9" s="129"/>
      <c r="T9" s="129"/>
      <c r="U9" s="129"/>
      <c r="V9" s="129"/>
      <c r="W9" s="129"/>
      <c r="X9" s="129"/>
      <c r="Y9" s="129"/>
      <c r="Z9" s="129"/>
      <c r="AA9" s="129"/>
      <c r="AB9" s="129"/>
      <c r="AC9" s="129"/>
      <c r="AD9" s="129"/>
      <c r="AE9" s="129"/>
      <c r="AF9" s="129"/>
      <c r="AG9" s="129"/>
      <c r="AH9" s="129"/>
      <c r="AI9" s="129"/>
      <c r="AJ9" s="129"/>
      <c r="AK9" s="129"/>
      <c r="AL9" s="129"/>
      <c r="AM9" s="129"/>
      <c r="AN9" s="129"/>
      <c r="AO9" s="129"/>
      <c r="AP9" s="129"/>
      <c r="AQ9" s="129"/>
      <c r="AR9" s="129"/>
      <c r="AS9" s="129"/>
      <c r="AT9" s="129"/>
      <c r="AU9" s="129"/>
      <c r="AV9" s="129"/>
      <c r="AW9" s="129"/>
      <c r="AX9" s="129"/>
      <c r="AY9" s="129"/>
      <c r="AZ9" s="129"/>
      <c r="BA9" s="129"/>
      <c r="BB9" s="129"/>
      <c r="BC9" s="129"/>
      <c r="BD9" s="129"/>
      <c r="BE9" s="129"/>
      <c r="BF9" s="129"/>
      <c r="BG9" s="129"/>
      <c r="BH9" s="129"/>
      <c r="BI9" s="129"/>
      <c r="BJ9" s="129"/>
      <c r="BK9" s="129"/>
      <c r="BL9" s="129"/>
      <c r="BM9" s="129"/>
      <c r="BN9" s="129"/>
      <c r="BO9" s="129"/>
      <c r="BP9" s="129"/>
      <c r="BQ9" s="129"/>
      <c r="BR9" s="129"/>
      <c r="BS9" s="129"/>
      <c r="BT9" s="129"/>
      <c r="BU9" s="129"/>
      <c r="BV9" s="129"/>
      <c r="BW9" s="129"/>
      <c r="BX9" s="129"/>
      <c r="BY9" s="129"/>
      <c r="BZ9" s="129"/>
      <c r="CA9" s="129"/>
      <c r="CB9" s="129"/>
      <c r="CC9" s="129"/>
      <c r="CD9" s="129"/>
      <c r="CE9" s="129"/>
      <c r="CF9" s="129"/>
      <c r="CG9" s="129"/>
      <c r="CH9" s="129"/>
      <c r="CI9" s="129"/>
      <c r="CJ9" s="129"/>
      <c r="CK9" s="129"/>
      <c r="CL9" s="129"/>
      <c r="CM9" s="129"/>
      <c r="CN9" s="129"/>
      <c r="CO9" s="129"/>
      <c r="CP9" s="129"/>
      <c r="CQ9" s="129"/>
      <c r="CR9" s="129"/>
      <c r="CS9" s="129"/>
      <c r="CT9" s="129"/>
    </row>
    <row r="10" spans="1:98" s="120" customFormat="1" ht="22.8">
      <c r="A10" s="321" t="str">
        <f>'Relatorios por grupo de produto'!A99</f>
        <v xml:space="preserve"> A</v>
      </c>
      <c r="B10" s="322" t="str">
        <f>'Relatorios por grupo de produto'!B99</f>
        <v>ELABORAÇÃO DE DOCUMENTOS PARA AUDIÊNCIA PÚBLICA DOS PROJETOS DE CONCESSÃO E PRORROGAÇÕES ANTECIPADAS</v>
      </c>
      <c r="C10" s="323">
        <v>4</v>
      </c>
      <c r="D10" s="324">
        <f>'Relatorios por grupo de produto'!F99</f>
        <v>2580549.9200117788</v>
      </c>
      <c r="F10" s="315"/>
      <c r="G10" s="314"/>
      <c r="H10" s="12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c r="AV10" s="129"/>
      <c r="AW10" s="129"/>
      <c r="AX10" s="129"/>
      <c r="AY10" s="129"/>
      <c r="AZ10" s="129"/>
      <c r="BA10" s="129"/>
      <c r="BB10" s="129"/>
      <c r="BC10" s="129"/>
      <c r="BD10" s="129"/>
      <c r="BE10" s="129"/>
      <c r="BF10" s="129"/>
      <c r="BG10" s="129"/>
      <c r="BH10" s="129"/>
      <c r="BI10" s="129"/>
      <c r="BJ10" s="129"/>
      <c r="BK10" s="129"/>
      <c r="BL10" s="129"/>
      <c r="BM10" s="129"/>
      <c r="BN10" s="129"/>
      <c r="BO10" s="129"/>
      <c r="BP10" s="129"/>
      <c r="BQ10" s="129"/>
      <c r="BR10" s="129"/>
      <c r="BS10" s="129"/>
      <c r="BT10" s="129"/>
      <c r="BU10" s="129"/>
      <c r="BV10" s="129"/>
      <c r="BW10" s="129"/>
      <c r="BX10" s="129"/>
      <c r="BY10" s="129"/>
      <c r="BZ10" s="129"/>
      <c r="CA10" s="129"/>
      <c r="CB10" s="129"/>
      <c r="CC10" s="129"/>
      <c r="CD10" s="129"/>
      <c r="CE10" s="129"/>
      <c r="CF10" s="129"/>
      <c r="CG10" s="129"/>
      <c r="CH10" s="129"/>
      <c r="CI10" s="129"/>
      <c r="CJ10" s="129"/>
      <c r="CK10" s="129"/>
      <c r="CL10" s="129"/>
      <c r="CM10" s="129"/>
      <c r="CN10" s="129"/>
      <c r="CO10" s="129"/>
      <c r="CP10" s="129"/>
      <c r="CQ10" s="129"/>
      <c r="CR10" s="129"/>
      <c r="CS10" s="129"/>
      <c r="CT10" s="129"/>
    </row>
    <row r="11" spans="1:98" s="120" customFormat="1" ht="22.8">
      <c r="A11" s="272" t="str">
        <f>'Relatorios por grupo de produto'!A100</f>
        <v>B</v>
      </c>
      <c r="B11" s="273" t="str">
        <f>'Relatorios por grupo de produto'!B100</f>
        <v>AJUSTES DE DOCUMENTOS APÓS AUDIÊNCIA PÚBLICA DOS PROJETOS DE CONCESSÃO E PRORROGAÇÕES ANTECIPADAS</v>
      </c>
      <c r="C11" s="296">
        <v>10</v>
      </c>
      <c r="D11" s="274">
        <f>'Relatorios por grupo de produto'!F100</f>
        <v>2411569.1062993361</v>
      </c>
      <c r="F11" s="315"/>
      <c r="G11" s="314"/>
      <c r="H11" s="129"/>
      <c r="I11" s="129"/>
      <c r="J11" s="129"/>
      <c r="K11" s="129"/>
      <c r="L11" s="129"/>
      <c r="M11" s="129"/>
      <c r="N11" s="129"/>
      <c r="O11" s="129"/>
      <c r="P11" s="129"/>
      <c r="Q11" s="129"/>
      <c r="R11" s="129"/>
      <c r="S11" s="129"/>
      <c r="T11" s="129"/>
      <c r="U11" s="129"/>
      <c r="V11" s="129"/>
      <c r="W11" s="129"/>
      <c r="X11" s="129"/>
      <c r="Y11" s="129"/>
      <c r="Z11" s="129"/>
      <c r="AA11" s="129"/>
      <c r="AB11" s="129"/>
      <c r="AC11" s="129"/>
      <c r="AD11" s="129"/>
      <c r="AE11" s="129"/>
      <c r="AF11" s="129"/>
      <c r="AG11" s="129"/>
      <c r="AH11" s="129"/>
      <c r="AI11" s="129"/>
      <c r="AJ11" s="129"/>
      <c r="AK11" s="129"/>
      <c r="AL11" s="129"/>
      <c r="AM11" s="129"/>
      <c r="AN11" s="129"/>
      <c r="AO11" s="129"/>
      <c r="AP11" s="129"/>
      <c r="AQ11" s="129"/>
      <c r="AR11" s="129"/>
      <c r="AS11" s="129"/>
      <c r="AT11" s="129"/>
      <c r="AU11" s="129"/>
      <c r="AV11" s="129"/>
      <c r="AW11" s="129"/>
      <c r="AX11" s="129"/>
      <c r="AY11" s="129"/>
      <c r="AZ11" s="129"/>
      <c r="BA11" s="129"/>
      <c r="BB11" s="129"/>
      <c r="BC11" s="129"/>
      <c r="BD11" s="129"/>
      <c r="BE11" s="129"/>
      <c r="BF11" s="129"/>
      <c r="BG11" s="129"/>
      <c r="BH11" s="129"/>
      <c r="BI11" s="129"/>
      <c r="BJ11" s="129"/>
      <c r="BK11" s="129"/>
      <c r="BL11" s="129"/>
      <c r="BM11" s="129"/>
      <c r="BN11" s="129"/>
      <c r="BO11" s="129"/>
      <c r="BP11" s="129"/>
      <c r="BQ11" s="129"/>
      <c r="BR11" s="129"/>
      <c r="BS11" s="129"/>
      <c r="BT11" s="129"/>
      <c r="BU11" s="129"/>
      <c r="BV11" s="129"/>
      <c r="BW11" s="129"/>
      <c r="BX11" s="129"/>
      <c r="BY11" s="129"/>
      <c r="BZ11" s="129"/>
      <c r="CA11" s="129"/>
      <c r="CB11" s="129"/>
      <c r="CC11" s="129"/>
      <c r="CD11" s="129"/>
      <c r="CE11" s="129"/>
      <c r="CF11" s="129"/>
      <c r="CG11" s="129"/>
      <c r="CH11" s="129"/>
      <c r="CI11" s="129"/>
      <c r="CJ11" s="129"/>
      <c r="CK11" s="129"/>
      <c r="CL11" s="129"/>
      <c r="CM11" s="129"/>
      <c r="CN11" s="129"/>
      <c r="CO11" s="129"/>
      <c r="CP11" s="129"/>
      <c r="CQ11" s="129"/>
      <c r="CR11" s="129"/>
      <c r="CS11" s="129"/>
      <c r="CT11" s="129"/>
    </row>
    <row r="12" spans="1:98" s="120" customFormat="1" ht="22.8">
      <c r="A12" s="272" t="str">
        <f>'Relatorios por grupo de produto'!A101</f>
        <v>C</v>
      </c>
      <c r="B12" s="273" t="str">
        <f>'Relatorios por grupo de produto'!B101</f>
        <v>AJUSTES DE DOCUMENTOS DURANTE E APÓS ANÁLISE PELO TRIBUNAL DE CONTAS DA UNIÃO DOS PROJETOS DE CONCESSÃO E PRORROGAÇÕES ANTECIPADAS</v>
      </c>
      <c r="C12" s="296">
        <v>5</v>
      </c>
      <c r="D12" s="274">
        <f>'Relatorios por grupo de produto'!F101</f>
        <v>1404699.0993475574</v>
      </c>
      <c r="F12" s="315"/>
      <c r="G12" s="314"/>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c r="AV12" s="129"/>
      <c r="AW12" s="129"/>
      <c r="AX12" s="129"/>
      <c r="AY12" s="129"/>
      <c r="AZ12" s="129"/>
      <c r="BA12" s="129"/>
      <c r="BB12" s="129"/>
      <c r="BC12" s="129"/>
      <c r="BD12" s="129"/>
      <c r="BE12" s="129"/>
      <c r="BF12" s="129"/>
      <c r="BG12" s="129"/>
      <c r="BH12" s="129"/>
      <c r="BI12" s="129"/>
      <c r="BJ12" s="129"/>
      <c r="BK12" s="129"/>
      <c r="BL12" s="129"/>
      <c r="BM12" s="129"/>
      <c r="BN12" s="129"/>
      <c r="BO12" s="129"/>
      <c r="BP12" s="129"/>
      <c r="BQ12" s="129"/>
      <c r="BR12" s="129"/>
      <c r="BS12" s="129"/>
      <c r="BT12" s="129"/>
      <c r="BU12" s="129"/>
      <c r="BV12" s="129"/>
      <c r="BW12" s="129"/>
      <c r="BX12" s="129"/>
      <c r="BY12" s="129"/>
      <c r="BZ12" s="129"/>
      <c r="CA12" s="129"/>
      <c r="CB12" s="129"/>
      <c r="CC12" s="129"/>
      <c r="CD12" s="129"/>
      <c r="CE12" s="129"/>
      <c r="CF12" s="129"/>
      <c r="CG12" s="129"/>
      <c r="CH12" s="129"/>
      <c r="CI12" s="129"/>
      <c r="CJ12" s="129"/>
      <c r="CK12" s="129"/>
      <c r="CL12" s="129"/>
      <c r="CM12" s="129"/>
      <c r="CN12" s="129"/>
      <c r="CO12" s="129"/>
      <c r="CP12" s="129"/>
      <c r="CQ12" s="129"/>
      <c r="CR12" s="129"/>
      <c r="CS12" s="129"/>
      <c r="CT12" s="129"/>
    </row>
    <row r="13" spans="1:98" s="120" customFormat="1" ht="22.8">
      <c r="A13" s="272" t="str">
        <f>'Relatorios por grupo de produto'!A102</f>
        <v>D</v>
      </c>
      <c r="B13" s="273" t="str">
        <f>'Relatorios por grupo de produto'!B102</f>
        <v>ELABORAÇÃO DE CRONOGRAMA PARA GESTÃO DE PROJETOS DE CONCESSÃO E PRORROGAÇÕES ANTECIPADAS</v>
      </c>
      <c r="C13" s="296">
        <v>15</v>
      </c>
      <c r="D13" s="274">
        <f>'Relatorios por grupo de produto'!F102</f>
        <v>104039.71885689057</v>
      </c>
      <c r="F13" s="315"/>
      <c r="G13" s="314"/>
      <c r="H13" s="129"/>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29"/>
      <c r="AN13" s="129"/>
      <c r="AO13" s="129"/>
      <c r="AP13" s="129"/>
      <c r="AQ13" s="129"/>
      <c r="AR13" s="129"/>
      <c r="AS13" s="129"/>
      <c r="AT13" s="129"/>
      <c r="AU13" s="129"/>
      <c r="AV13" s="129"/>
      <c r="AW13" s="129"/>
      <c r="AX13" s="129"/>
      <c r="AY13" s="129"/>
      <c r="AZ13" s="129"/>
      <c r="BA13" s="129"/>
      <c r="BB13" s="129"/>
      <c r="BC13" s="129"/>
      <c r="BD13" s="129"/>
      <c r="BE13" s="129"/>
      <c r="BF13" s="129"/>
      <c r="BG13" s="129"/>
      <c r="BH13" s="129"/>
      <c r="BI13" s="129"/>
      <c r="BJ13" s="129"/>
      <c r="BK13" s="129"/>
      <c r="BL13" s="129"/>
      <c r="BM13" s="129"/>
      <c r="BN13" s="129"/>
      <c r="BO13" s="129"/>
      <c r="BP13" s="129"/>
      <c r="BQ13" s="129"/>
      <c r="BR13" s="129"/>
      <c r="BS13" s="129"/>
      <c r="BT13" s="129"/>
      <c r="BU13" s="129"/>
      <c r="BV13" s="129"/>
      <c r="BW13" s="129"/>
      <c r="BX13" s="129"/>
      <c r="BY13" s="129"/>
      <c r="BZ13" s="129"/>
      <c r="CA13" s="129"/>
      <c r="CB13" s="129"/>
      <c r="CC13" s="129"/>
      <c r="CD13" s="129"/>
      <c r="CE13" s="129"/>
      <c r="CF13" s="129"/>
      <c r="CG13" s="129"/>
      <c r="CH13" s="129"/>
      <c r="CI13" s="129"/>
      <c r="CJ13" s="129"/>
      <c r="CK13" s="129"/>
      <c r="CL13" s="129"/>
      <c r="CM13" s="129"/>
      <c r="CN13" s="129"/>
      <c r="CO13" s="129"/>
      <c r="CP13" s="129"/>
      <c r="CQ13" s="129"/>
      <c r="CR13" s="129"/>
      <c r="CS13" s="129"/>
      <c r="CT13" s="129"/>
    </row>
    <row r="14" spans="1:98" s="120" customFormat="1">
      <c r="A14" s="70"/>
      <c r="B14" s="275" t="str">
        <f>'Relatorios por grupo de produto'!E103</f>
        <v>Total:</v>
      </c>
      <c r="C14" s="308">
        <f>SUM(C10:C13)</f>
        <v>34</v>
      </c>
      <c r="D14" s="276">
        <f>'Relatorios por grupo de produto'!F103</f>
        <v>6500857.8399999999</v>
      </c>
      <c r="F14" s="315"/>
      <c r="G14" s="314"/>
      <c r="H14" s="129"/>
      <c r="I14" s="129"/>
      <c r="J14" s="129"/>
      <c r="K14" s="129"/>
      <c r="L14" s="129"/>
      <c r="M14" s="129"/>
      <c r="N14" s="129"/>
      <c r="O14" s="129"/>
      <c r="P14" s="129"/>
      <c r="Q14" s="129"/>
      <c r="R14" s="129"/>
      <c r="S14" s="129"/>
      <c r="T14" s="129"/>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c r="AV14" s="129"/>
      <c r="AW14" s="129"/>
      <c r="AX14" s="129"/>
      <c r="AY14" s="129"/>
      <c r="AZ14" s="129"/>
      <c r="BA14" s="129"/>
      <c r="BB14" s="129"/>
      <c r="BC14" s="129"/>
      <c r="BD14" s="129"/>
      <c r="BE14" s="129"/>
      <c r="BF14" s="129"/>
      <c r="BG14" s="129"/>
      <c r="BH14" s="129"/>
      <c r="BI14" s="129"/>
      <c r="BJ14" s="129"/>
      <c r="BK14" s="129"/>
      <c r="BL14" s="129"/>
      <c r="BM14" s="129"/>
      <c r="BN14" s="129"/>
      <c r="BO14" s="129"/>
      <c r="BP14" s="129"/>
      <c r="BQ14" s="129"/>
      <c r="BR14" s="129"/>
      <c r="BS14" s="129"/>
      <c r="BT14" s="129"/>
      <c r="BU14" s="129"/>
      <c r="BV14" s="129"/>
      <c r="BW14" s="129"/>
      <c r="BX14" s="129"/>
      <c r="BY14" s="129"/>
      <c r="BZ14" s="129"/>
      <c r="CA14" s="129"/>
      <c r="CB14" s="129"/>
      <c r="CC14" s="129"/>
      <c r="CD14" s="129"/>
      <c r="CE14" s="129"/>
      <c r="CF14" s="129"/>
      <c r="CG14" s="129"/>
      <c r="CH14" s="129"/>
      <c r="CI14" s="129"/>
      <c r="CJ14" s="129"/>
      <c r="CK14" s="129"/>
      <c r="CL14" s="129"/>
      <c r="CM14" s="129"/>
      <c r="CN14" s="129"/>
      <c r="CO14" s="129"/>
      <c r="CP14" s="129"/>
      <c r="CQ14" s="129"/>
      <c r="CR14" s="129"/>
      <c r="CS14" s="129"/>
      <c r="CT14" s="129"/>
    </row>
    <row r="15" spans="1:98" s="120" customFormat="1">
      <c r="B15" s="2"/>
      <c r="C15" s="3"/>
      <c r="D15" s="2"/>
      <c r="E15" s="2"/>
      <c r="F15" s="3"/>
      <c r="G15" s="2"/>
      <c r="H15" s="129"/>
      <c r="I15" s="129"/>
      <c r="J15" s="129"/>
      <c r="K15" s="129"/>
      <c r="L15" s="129"/>
      <c r="M15" s="129"/>
      <c r="N15" s="129"/>
      <c r="O15" s="129"/>
      <c r="P15" s="129"/>
      <c r="Q15" s="129"/>
      <c r="R15" s="129"/>
      <c r="S15" s="129"/>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c r="AV15" s="129"/>
      <c r="AW15" s="129"/>
      <c r="AX15" s="129"/>
      <c r="AY15" s="129"/>
      <c r="AZ15" s="129"/>
      <c r="BA15" s="129"/>
      <c r="BB15" s="129"/>
      <c r="BC15" s="129"/>
      <c r="BD15" s="129"/>
      <c r="BE15" s="129"/>
      <c r="BF15" s="129"/>
      <c r="BG15" s="129"/>
      <c r="BH15" s="129"/>
      <c r="BI15" s="129"/>
      <c r="BJ15" s="129"/>
      <c r="BK15" s="129"/>
      <c r="BL15" s="129"/>
      <c r="BM15" s="129"/>
      <c r="BN15" s="129"/>
      <c r="BO15" s="129"/>
      <c r="BP15" s="129"/>
      <c r="BQ15" s="129"/>
      <c r="BR15" s="129"/>
      <c r="BS15" s="129"/>
      <c r="BT15" s="129"/>
      <c r="BU15" s="129"/>
      <c r="BV15" s="129"/>
      <c r="BW15" s="129"/>
      <c r="BX15" s="129"/>
      <c r="BY15" s="129"/>
      <c r="BZ15" s="129"/>
      <c r="CA15" s="129"/>
      <c r="CB15" s="129"/>
      <c r="CC15" s="129"/>
      <c r="CD15" s="129"/>
      <c r="CE15" s="129"/>
      <c r="CF15" s="129"/>
      <c r="CG15" s="129"/>
      <c r="CH15" s="129"/>
      <c r="CI15" s="129"/>
      <c r="CJ15" s="129"/>
      <c r="CK15" s="129"/>
      <c r="CL15" s="129"/>
      <c r="CM15" s="129"/>
      <c r="CN15" s="129"/>
      <c r="CO15" s="129"/>
      <c r="CP15" s="129"/>
      <c r="CQ15" s="129"/>
      <c r="CR15" s="129"/>
      <c r="CS15" s="129"/>
      <c r="CT15" s="129"/>
    </row>
    <row r="16" spans="1:98" s="120" customFormat="1">
      <c r="B16" s="2"/>
      <c r="C16" s="3"/>
      <c r="D16" s="2"/>
      <c r="E16" s="2"/>
      <c r="F16" s="3"/>
      <c r="G16" s="2"/>
      <c r="H16" s="129"/>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129"/>
      <c r="AS16" s="129"/>
      <c r="AT16" s="129"/>
      <c r="AU16" s="129"/>
      <c r="AV16" s="129"/>
      <c r="AW16" s="129"/>
      <c r="AX16" s="129"/>
      <c r="AY16" s="129"/>
      <c r="AZ16" s="129"/>
      <c r="BA16" s="129"/>
      <c r="BB16" s="129"/>
      <c r="BC16" s="129"/>
      <c r="BD16" s="129"/>
      <c r="BE16" s="129"/>
      <c r="BF16" s="129"/>
      <c r="BG16" s="129"/>
      <c r="BH16" s="129"/>
      <c r="BI16" s="129"/>
      <c r="BJ16" s="129"/>
      <c r="BK16" s="129"/>
      <c r="BL16" s="129"/>
      <c r="BM16" s="129"/>
      <c r="BN16" s="129"/>
      <c r="BO16" s="129"/>
      <c r="BP16" s="129"/>
      <c r="BQ16" s="129"/>
      <c r="BR16" s="129"/>
      <c r="BS16" s="129"/>
      <c r="BT16" s="129"/>
      <c r="BU16" s="129"/>
      <c r="BV16" s="129"/>
      <c r="BW16" s="129"/>
      <c r="BX16" s="129"/>
      <c r="BY16" s="129"/>
      <c r="BZ16" s="129"/>
      <c r="CA16" s="129"/>
      <c r="CB16" s="129"/>
      <c r="CC16" s="129"/>
      <c r="CD16" s="129"/>
      <c r="CE16" s="129"/>
      <c r="CF16" s="129"/>
      <c r="CG16" s="129"/>
      <c r="CH16" s="129"/>
      <c r="CI16" s="129"/>
      <c r="CJ16" s="129"/>
      <c r="CK16" s="129"/>
      <c r="CL16" s="129"/>
      <c r="CM16" s="129"/>
      <c r="CN16" s="129"/>
      <c r="CO16" s="129"/>
      <c r="CP16" s="129"/>
      <c r="CQ16" s="129"/>
      <c r="CR16" s="129"/>
      <c r="CS16" s="129"/>
      <c r="CT16" s="129"/>
    </row>
    <row r="17" spans="1:98" s="120" customFormat="1">
      <c r="A17" s="298" t="s">
        <v>308</v>
      </c>
      <c r="B17" s="299"/>
      <c r="C17" s="299"/>
      <c r="D17" s="299"/>
      <c r="E17" s="299"/>
      <c r="F17" s="3"/>
      <c r="G17" s="2"/>
      <c r="H17" s="129"/>
      <c r="I17" s="129"/>
      <c r="J17" s="129"/>
      <c r="K17" s="129"/>
      <c r="L17" s="129"/>
      <c r="M17" s="129"/>
      <c r="N17" s="129"/>
      <c r="O17" s="129"/>
      <c r="P17" s="129"/>
      <c r="Q17" s="129"/>
      <c r="R17" s="129"/>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c r="AV17" s="129"/>
      <c r="AW17" s="129"/>
      <c r="AX17" s="129"/>
      <c r="AY17" s="129"/>
      <c r="AZ17" s="129"/>
      <c r="BA17" s="129"/>
      <c r="BB17" s="129"/>
      <c r="BC17" s="129"/>
      <c r="BD17" s="129"/>
      <c r="BE17" s="129"/>
      <c r="BF17" s="129"/>
      <c r="BG17" s="129"/>
      <c r="BH17" s="129"/>
      <c r="BI17" s="129"/>
      <c r="BJ17" s="129"/>
      <c r="BK17" s="129"/>
      <c r="BL17" s="129"/>
      <c r="BM17" s="129"/>
      <c r="BN17" s="129"/>
      <c r="BO17" s="129"/>
      <c r="BP17" s="129"/>
      <c r="BQ17" s="129"/>
      <c r="BR17" s="129"/>
      <c r="BS17" s="129"/>
      <c r="BT17" s="129"/>
      <c r="BU17" s="129"/>
      <c r="BV17" s="129"/>
      <c r="BW17" s="129"/>
      <c r="BX17" s="129"/>
      <c r="BY17" s="129"/>
      <c r="BZ17" s="129"/>
      <c r="CA17" s="129"/>
      <c r="CB17" s="129"/>
      <c r="CC17" s="129"/>
      <c r="CD17" s="129"/>
      <c r="CE17" s="129"/>
      <c r="CF17" s="129"/>
      <c r="CG17" s="129"/>
      <c r="CH17" s="129"/>
      <c r="CI17" s="129"/>
      <c r="CJ17" s="129"/>
      <c r="CK17" s="129"/>
      <c r="CL17" s="129"/>
      <c r="CM17" s="129"/>
      <c r="CN17" s="129"/>
      <c r="CO17" s="129"/>
      <c r="CP17" s="129"/>
      <c r="CQ17" s="129"/>
      <c r="CR17" s="129"/>
      <c r="CS17" s="129"/>
      <c r="CT17" s="129"/>
    </row>
    <row r="18" spans="1:98" s="120" customFormat="1">
      <c r="A18" s="301" t="s">
        <v>123</v>
      </c>
      <c r="B18" s="301" t="s">
        <v>317</v>
      </c>
      <c r="C18" s="301" t="s">
        <v>7</v>
      </c>
      <c r="D18" s="302" t="s">
        <v>318</v>
      </c>
      <c r="E18" s="302" t="s">
        <v>319</v>
      </c>
      <c r="F18" s="3"/>
      <c r="G18" s="2"/>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c r="AT18" s="129"/>
      <c r="AU18" s="129"/>
      <c r="AV18" s="129"/>
      <c r="AW18" s="129"/>
      <c r="AX18" s="129"/>
      <c r="AY18" s="129"/>
      <c r="AZ18" s="129"/>
      <c r="BA18" s="129"/>
      <c r="BB18" s="129"/>
      <c r="BC18" s="129"/>
      <c r="BD18" s="129"/>
      <c r="BE18" s="129"/>
      <c r="BF18" s="129"/>
      <c r="BG18" s="129"/>
      <c r="BH18" s="129"/>
      <c r="BI18" s="129"/>
      <c r="BJ18" s="129"/>
      <c r="BK18" s="129"/>
      <c r="BL18" s="129"/>
      <c r="BM18" s="129"/>
      <c r="BN18" s="129"/>
      <c r="BO18" s="129"/>
      <c r="BP18" s="129"/>
      <c r="BQ18" s="129"/>
      <c r="BR18" s="129"/>
      <c r="BS18" s="129"/>
      <c r="BT18" s="129"/>
      <c r="BU18" s="129"/>
      <c r="BV18" s="129"/>
      <c r="BW18" s="129"/>
      <c r="BX18" s="129"/>
      <c r="BY18" s="129"/>
      <c r="BZ18" s="129"/>
      <c r="CA18" s="129"/>
      <c r="CB18" s="129"/>
      <c r="CC18" s="129"/>
      <c r="CD18" s="129"/>
      <c r="CE18" s="129"/>
      <c r="CF18" s="129"/>
      <c r="CG18" s="129"/>
      <c r="CH18" s="129"/>
      <c r="CI18" s="129"/>
      <c r="CJ18" s="129"/>
      <c r="CK18" s="129"/>
      <c r="CL18" s="129"/>
      <c r="CM18" s="129"/>
      <c r="CN18" s="129"/>
      <c r="CO18" s="129"/>
      <c r="CP18" s="129"/>
      <c r="CQ18" s="129"/>
      <c r="CR18" s="129"/>
      <c r="CS18" s="129"/>
      <c r="CT18" s="129"/>
    </row>
    <row r="19" spans="1:98" s="120" customFormat="1" ht="23.4">
      <c r="A19" s="303">
        <v>1</v>
      </c>
      <c r="B19" s="300" t="s">
        <v>275</v>
      </c>
      <c r="C19" s="303">
        <v>1</v>
      </c>
      <c r="D19" s="305">
        <f>VLOOKUP(F19,'Produtos Grupo A'!$A:$F,6,0)*12</f>
        <v>645137.48000294471</v>
      </c>
      <c r="E19" s="305">
        <f>D19*C19</f>
        <v>645137.48000294471</v>
      </c>
      <c r="F19" s="304" t="str">
        <f>"valor mês produto "&amp;A19</f>
        <v>valor mês produto 1</v>
      </c>
      <c r="G19" s="2"/>
      <c r="H19" s="129"/>
      <c r="I19" s="129"/>
      <c r="J19" s="129"/>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H19" s="129"/>
      <c r="AI19" s="129"/>
      <c r="AJ19" s="129"/>
      <c r="AK19" s="129"/>
      <c r="AL19" s="129"/>
      <c r="AM19" s="129"/>
      <c r="AN19" s="129"/>
      <c r="AO19" s="129"/>
      <c r="AP19" s="129"/>
      <c r="AQ19" s="129"/>
      <c r="AR19" s="129"/>
      <c r="AS19" s="129"/>
      <c r="AT19" s="129"/>
      <c r="AU19" s="129"/>
      <c r="AV19" s="129"/>
      <c r="AW19" s="129"/>
      <c r="AX19" s="129"/>
      <c r="AY19" s="129"/>
      <c r="AZ19" s="129"/>
      <c r="BA19" s="129"/>
      <c r="BB19" s="129"/>
      <c r="BC19" s="129"/>
      <c r="BD19" s="129"/>
      <c r="BE19" s="129"/>
      <c r="BF19" s="129"/>
      <c r="BG19" s="129"/>
      <c r="BH19" s="129"/>
      <c r="BI19" s="129"/>
      <c r="BJ19" s="129"/>
      <c r="BK19" s="129"/>
      <c r="BL19" s="129"/>
      <c r="BM19" s="129"/>
      <c r="BN19" s="129"/>
      <c r="BO19" s="129"/>
      <c r="BP19" s="129"/>
      <c r="BQ19" s="129"/>
      <c r="BR19" s="129"/>
      <c r="BS19" s="129"/>
      <c r="BT19" s="129"/>
      <c r="BU19" s="129"/>
      <c r="BV19" s="129"/>
      <c r="BW19" s="129"/>
      <c r="BX19" s="129"/>
      <c r="BY19" s="129"/>
      <c r="BZ19" s="129"/>
      <c r="CA19" s="129"/>
      <c r="CB19" s="129"/>
      <c r="CC19" s="129"/>
      <c r="CD19" s="129"/>
      <c r="CE19" s="129"/>
      <c r="CF19" s="129"/>
      <c r="CG19" s="129"/>
      <c r="CH19" s="129"/>
      <c r="CI19" s="129"/>
      <c r="CJ19" s="129"/>
      <c r="CK19" s="129"/>
      <c r="CL19" s="129"/>
      <c r="CM19" s="129"/>
      <c r="CN19" s="129"/>
      <c r="CO19" s="129"/>
      <c r="CP19" s="129"/>
      <c r="CQ19" s="129"/>
      <c r="CR19" s="129"/>
      <c r="CS19" s="129"/>
      <c r="CT19" s="129"/>
    </row>
    <row r="20" spans="1:98" s="120" customFormat="1" ht="23.4">
      <c r="A20" s="303">
        <v>2</v>
      </c>
      <c r="B20" s="300" t="s">
        <v>276</v>
      </c>
      <c r="C20" s="303">
        <v>1</v>
      </c>
      <c r="D20" s="305">
        <f>VLOOKUP(F20,'Produtos Grupo A'!$A:$F,6,0)*12</f>
        <v>645137.48000294471</v>
      </c>
      <c r="E20" s="305">
        <f t="shared" ref="E20:E22" si="0">D20*C20</f>
        <v>645137.48000294471</v>
      </c>
      <c r="F20" s="304" t="str">
        <f t="shared" ref="F20:F22" si="1">"valor mês produto "&amp;A20</f>
        <v>valor mês produto 2</v>
      </c>
      <c r="G20" s="2"/>
      <c r="H20" s="129"/>
      <c r="I20" s="129"/>
      <c r="J20" s="129"/>
      <c r="K20" s="129"/>
      <c r="L20" s="129"/>
      <c r="M20" s="129"/>
      <c r="N20" s="129"/>
      <c r="O20" s="129"/>
      <c r="P20" s="129"/>
      <c r="Q20" s="129"/>
      <c r="R20" s="129"/>
      <c r="S20" s="129"/>
      <c r="T20" s="129"/>
      <c r="U20" s="129"/>
      <c r="V20" s="129"/>
      <c r="W20" s="129"/>
      <c r="X20" s="129"/>
      <c r="Y20" s="129"/>
      <c r="Z20" s="129"/>
      <c r="AA20" s="129"/>
      <c r="AB20" s="129"/>
      <c r="AC20" s="129"/>
      <c r="AD20" s="129"/>
      <c r="AE20" s="129"/>
      <c r="AF20" s="129"/>
      <c r="AG20" s="129"/>
      <c r="AH20" s="129"/>
      <c r="AI20" s="129"/>
      <c r="AJ20" s="129"/>
      <c r="AK20" s="129"/>
      <c r="AL20" s="129"/>
      <c r="AM20" s="129"/>
      <c r="AN20" s="129"/>
      <c r="AO20" s="129"/>
      <c r="AP20" s="129"/>
      <c r="AQ20" s="129"/>
      <c r="AR20" s="129"/>
      <c r="AS20" s="129"/>
      <c r="AT20" s="129"/>
      <c r="AU20" s="129"/>
      <c r="AV20" s="129"/>
      <c r="AW20" s="129"/>
      <c r="AX20" s="129"/>
      <c r="AY20" s="129"/>
      <c r="AZ20" s="129"/>
      <c r="BA20" s="129"/>
      <c r="BB20" s="129"/>
      <c r="BC20" s="129"/>
      <c r="BD20" s="129"/>
      <c r="BE20" s="129"/>
      <c r="BF20" s="129"/>
      <c r="BG20" s="129"/>
      <c r="BH20" s="129"/>
      <c r="BI20" s="129"/>
      <c r="BJ20" s="129"/>
      <c r="BK20" s="129"/>
      <c r="BL20" s="129"/>
      <c r="BM20" s="129"/>
      <c r="BN20" s="129"/>
      <c r="BO20" s="129"/>
      <c r="BP20" s="129"/>
      <c r="BQ20" s="129"/>
      <c r="BR20" s="129"/>
      <c r="BS20" s="129"/>
      <c r="BT20" s="129"/>
      <c r="BU20" s="129"/>
      <c r="BV20" s="129"/>
      <c r="BW20" s="129"/>
      <c r="BX20" s="129"/>
      <c r="BY20" s="129"/>
      <c r="BZ20" s="129"/>
      <c r="CA20" s="129"/>
      <c r="CB20" s="129"/>
      <c r="CC20" s="129"/>
      <c r="CD20" s="129"/>
      <c r="CE20" s="129"/>
      <c r="CF20" s="129"/>
      <c r="CG20" s="129"/>
      <c r="CH20" s="129"/>
      <c r="CI20" s="129"/>
      <c r="CJ20" s="129"/>
      <c r="CK20" s="129"/>
      <c r="CL20" s="129"/>
      <c r="CM20" s="129"/>
      <c r="CN20" s="129"/>
      <c r="CO20" s="129"/>
      <c r="CP20" s="129"/>
      <c r="CQ20" s="129"/>
      <c r="CR20" s="129"/>
      <c r="CS20" s="129"/>
      <c r="CT20" s="129"/>
    </row>
    <row r="21" spans="1:98" s="120" customFormat="1" ht="23.4">
      <c r="A21" s="303">
        <v>3</v>
      </c>
      <c r="B21" s="300" t="s">
        <v>277</v>
      </c>
      <c r="C21" s="303">
        <v>1</v>
      </c>
      <c r="D21" s="305">
        <f>VLOOKUP(F21,'Produtos Grupo A'!$A:$F,6,0)*12</f>
        <v>645137.48000294471</v>
      </c>
      <c r="E21" s="305">
        <f t="shared" si="0"/>
        <v>645137.48000294471</v>
      </c>
      <c r="F21" s="304" t="str">
        <f t="shared" si="1"/>
        <v>valor mês produto 3</v>
      </c>
      <c r="G21" s="2"/>
      <c r="H21" s="129"/>
      <c r="I21" s="129"/>
      <c r="J21" s="129"/>
      <c r="K21" s="129"/>
      <c r="L21" s="129"/>
      <c r="M21" s="129"/>
      <c r="N21" s="129"/>
      <c r="O21" s="129"/>
      <c r="P21" s="129"/>
      <c r="Q21" s="129"/>
      <c r="R21" s="129"/>
      <c r="S21" s="129"/>
      <c r="T21" s="129"/>
      <c r="U21" s="129"/>
      <c r="V21" s="129"/>
      <c r="W21" s="129"/>
      <c r="X21" s="129"/>
      <c r="Y21" s="129"/>
      <c r="Z21" s="129"/>
      <c r="AA21" s="129"/>
      <c r="AB21" s="129"/>
      <c r="AC21" s="129"/>
      <c r="AD21" s="129"/>
      <c r="AE21" s="129"/>
      <c r="AF21" s="129"/>
      <c r="AG21" s="129"/>
      <c r="AH21" s="129"/>
      <c r="AI21" s="129"/>
      <c r="AJ21" s="129"/>
      <c r="AK21" s="129"/>
      <c r="AL21" s="129"/>
      <c r="AM21" s="129"/>
      <c r="AN21" s="129"/>
      <c r="AO21" s="129"/>
      <c r="AP21" s="129"/>
      <c r="AQ21" s="129"/>
      <c r="AR21" s="129"/>
      <c r="AS21" s="129"/>
      <c r="AT21" s="129"/>
      <c r="AU21" s="129"/>
      <c r="AV21" s="129"/>
      <c r="AW21" s="129"/>
      <c r="AX21" s="129"/>
      <c r="AY21" s="129"/>
      <c r="AZ21" s="129"/>
      <c r="BA21" s="129"/>
      <c r="BB21" s="129"/>
      <c r="BC21" s="129"/>
      <c r="BD21" s="129"/>
      <c r="BE21" s="129"/>
      <c r="BF21" s="129"/>
      <c r="BG21" s="129"/>
      <c r="BH21" s="129"/>
      <c r="BI21" s="129"/>
      <c r="BJ21" s="129"/>
      <c r="BK21" s="129"/>
      <c r="BL21" s="129"/>
      <c r="BM21" s="129"/>
      <c r="BN21" s="129"/>
      <c r="BO21" s="129"/>
      <c r="BP21" s="129"/>
      <c r="BQ21" s="129"/>
      <c r="BR21" s="129"/>
      <c r="BS21" s="129"/>
      <c r="BT21" s="129"/>
      <c r="BU21" s="129"/>
      <c r="BV21" s="129"/>
      <c r="BW21" s="129"/>
      <c r="BX21" s="129"/>
      <c r="BY21" s="129"/>
      <c r="BZ21" s="129"/>
      <c r="CA21" s="129"/>
      <c r="CB21" s="129"/>
      <c r="CC21" s="129"/>
      <c r="CD21" s="129"/>
      <c r="CE21" s="129"/>
      <c r="CF21" s="129"/>
      <c r="CG21" s="129"/>
      <c r="CH21" s="129"/>
      <c r="CI21" s="129"/>
      <c r="CJ21" s="129"/>
      <c r="CK21" s="129"/>
      <c r="CL21" s="129"/>
      <c r="CM21" s="129"/>
      <c r="CN21" s="129"/>
      <c r="CO21" s="129"/>
      <c r="CP21" s="129"/>
      <c r="CQ21" s="129"/>
      <c r="CR21" s="129"/>
      <c r="CS21" s="129"/>
      <c r="CT21" s="129"/>
    </row>
    <row r="22" spans="1:98" s="120" customFormat="1" ht="23.4">
      <c r="A22" s="303">
        <v>4</v>
      </c>
      <c r="B22" s="300" t="s">
        <v>278</v>
      </c>
      <c r="C22" s="303">
        <v>1</v>
      </c>
      <c r="D22" s="305">
        <f>VLOOKUP(F22,'Produtos Grupo A'!$A:$F,6,0)*12</f>
        <v>645137.48000294471</v>
      </c>
      <c r="E22" s="305">
        <f t="shared" si="0"/>
        <v>645137.48000294471</v>
      </c>
      <c r="F22" s="304" t="str">
        <f t="shared" si="1"/>
        <v>valor mês produto 4</v>
      </c>
      <c r="G22" s="2"/>
      <c r="H22" s="129"/>
      <c r="I22" s="129"/>
      <c r="J22" s="129"/>
      <c r="K22" s="129"/>
      <c r="L22" s="129"/>
      <c r="M22" s="129"/>
      <c r="N22" s="129"/>
      <c r="O22" s="129"/>
      <c r="P22" s="129"/>
      <c r="Q22" s="129"/>
      <c r="R22" s="129"/>
      <c r="S22" s="129"/>
      <c r="T22" s="129"/>
      <c r="U22" s="129"/>
      <c r="V22" s="129"/>
      <c r="W22" s="129"/>
      <c r="X22" s="129"/>
      <c r="Y22" s="129"/>
      <c r="Z22" s="129"/>
      <c r="AA22" s="129"/>
      <c r="AB22" s="129"/>
      <c r="AC22" s="129"/>
      <c r="AD22" s="129"/>
      <c r="AE22" s="129"/>
      <c r="AF22" s="129"/>
      <c r="AG22" s="129"/>
      <c r="AH22" s="129"/>
      <c r="AI22" s="129"/>
      <c r="AJ22" s="129"/>
      <c r="AK22" s="129"/>
      <c r="AL22" s="129"/>
      <c r="AM22" s="129"/>
      <c r="AN22" s="129"/>
      <c r="AO22" s="129"/>
      <c r="AP22" s="129"/>
      <c r="AQ22" s="129"/>
      <c r="AR22" s="129"/>
      <c r="AS22" s="129"/>
      <c r="AT22" s="129"/>
      <c r="AU22" s="129"/>
      <c r="AV22" s="129"/>
      <c r="AW22" s="129"/>
      <c r="AX22" s="129"/>
      <c r="AY22" s="129"/>
      <c r="AZ22" s="129"/>
      <c r="BA22" s="129"/>
      <c r="BB22" s="129"/>
      <c r="BC22" s="129"/>
      <c r="BD22" s="129"/>
      <c r="BE22" s="129"/>
      <c r="BF22" s="129"/>
      <c r="BG22" s="129"/>
      <c r="BH22" s="129"/>
      <c r="BI22" s="129"/>
      <c r="BJ22" s="129"/>
      <c r="BK22" s="129"/>
      <c r="BL22" s="129"/>
      <c r="BM22" s="129"/>
      <c r="BN22" s="129"/>
      <c r="BO22" s="129"/>
      <c r="BP22" s="129"/>
      <c r="BQ22" s="129"/>
      <c r="BR22" s="129"/>
      <c r="BS22" s="129"/>
      <c r="BT22" s="129"/>
      <c r="BU22" s="129"/>
      <c r="BV22" s="129"/>
      <c r="BW22" s="129"/>
      <c r="BX22" s="129"/>
      <c r="BY22" s="129"/>
      <c r="BZ22" s="129"/>
      <c r="CA22" s="129"/>
      <c r="CB22" s="129"/>
      <c r="CC22" s="129"/>
      <c r="CD22" s="129"/>
      <c r="CE22" s="129"/>
      <c r="CF22" s="129"/>
      <c r="CG22" s="129"/>
      <c r="CH22" s="129"/>
      <c r="CI22" s="129"/>
      <c r="CJ22" s="129"/>
      <c r="CK22" s="129"/>
      <c r="CL22" s="129"/>
      <c r="CM22" s="129"/>
      <c r="CN22" s="129"/>
      <c r="CO22" s="129"/>
      <c r="CP22" s="129"/>
      <c r="CQ22" s="129"/>
      <c r="CR22" s="129"/>
      <c r="CS22" s="129"/>
      <c r="CT22" s="129"/>
    </row>
    <row r="23" spans="1:98" s="120" customFormat="1" ht="18" customHeight="1">
      <c r="B23" s="2"/>
      <c r="C23" s="3"/>
      <c r="D23" s="2"/>
      <c r="E23" s="306">
        <f>SUM(E19:E22)</f>
        <v>2580549.9200117788</v>
      </c>
      <c r="F23" s="3"/>
      <c r="G23" s="2"/>
      <c r="H23" s="129"/>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29"/>
      <c r="AT23" s="129"/>
      <c r="AU23" s="129"/>
      <c r="AV23" s="129"/>
      <c r="AW23" s="129"/>
      <c r="AX23" s="129"/>
      <c r="AY23" s="129"/>
      <c r="AZ23" s="129"/>
      <c r="BA23" s="129"/>
      <c r="BB23" s="129"/>
      <c r="BC23" s="129"/>
      <c r="BD23" s="129"/>
      <c r="BE23" s="129"/>
      <c r="BF23" s="129"/>
      <c r="BG23" s="129"/>
      <c r="BH23" s="129"/>
      <c r="BI23" s="129"/>
      <c r="BJ23" s="129"/>
      <c r="BK23" s="129"/>
      <c r="BL23" s="129"/>
      <c r="BM23" s="129"/>
      <c r="BN23" s="129"/>
      <c r="BO23" s="129"/>
      <c r="BP23" s="129"/>
      <c r="BQ23" s="129"/>
      <c r="BR23" s="129"/>
      <c r="BS23" s="129"/>
      <c r="BT23" s="129"/>
      <c r="BU23" s="129"/>
      <c r="BV23" s="129"/>
      <c r="BW23" s="129"/>
      <c r="BX23" s="129"/>
      <c r="BY23" s="129"/>
      <c r="BZ23" s="129"/>
      <c r="CA23" s="129"/>
      <c r="CB23" s="129"/>
      <c r="CC23" s="129"/>
      <c r="CD23" s="129"/>
      <c r="CE23" s="129"/>
      <c r="CF23" s="129"/>
      <c r="CG23" s="129"/>
      <c r="CH23" s="129"/>
      <c r="CI23" s="129"/>
      <c r="CJ23" s="129"/>
      <c r="CK23" s="129"/>
      <c r="CL23" s="129"/>
      <c r="CM23" s="129"/>
      <c r="CN23" s="129"/>
      <c r="CO23" s="129"/>
      <c r="CP23" s="129"/>
      <c r="CQ23" s="129"/>
      <c r="CR23" s="129"/>
      <c r="CS23" s="129"/>
      <c r="CT23" s="129"/>
    </row>
    <row r="24" spans="1:98" s="120" customFormat="1">
      <c r="B24" s="2"/>
      <c r="C24" s="3"/>
      <c r="D24" s="2"/>
      <c r="E24" s="2"/>
      <c r="F24" s="3"/>
      <c r="G24" s="2"/>
      <c r="H24" s="129"/>
      <c r="I24" s="129"/>
      <c r="J24" s="129"/>
      <c r="K24" s="129"/>
      <c r="L24" s="129"/>
      <c r="M24" s="129"/>
      <c r="N24" s="129"/>
      <c r="O24" s="129"/>
      <c r="P24" s="129"/>
      <c r="Q24" s="129"/>
      <c r="R24" s="129"/>
      <c r="S24" s="129"/>
      <c r="T24" s="129"/>
      <c r="U24" s="129"/>
      <c r="V24" s="129"/>
      <c r="W24" s="129"/>
      <c r="X24" s="129"/>
      <c r="Y24" s="129"/>
      <c r="Z24" s="129"/>
      <c r="AA24" s="129"/>
      <c r="AB24" s="129"/>
      <c r="AC24" s="129"/>
      <c r="AD24" s="129"/>
      <c r="AE24" s="129"/>
      <c r="AF24" s="129"/>
      <c r="AG24" s="129"/>
      <c r="AH24" s="129"/>
      <c r="AI24" s="129"/>
      <c r="AJ24" s="129"/>
      <c r="AK24" s="129"/>
      <c r="AL24" s="129"/>
      <c r="AM24" s="129"/>
      <c r="AN24" s="129"/>
      <c r="AO24" s="129"/>
      <c r="AP24" s="129"/>
      <c r="AQ24" s="129"/>
      <c r="AR24" s="129"/>
      <c r="AS24" s="129"/>
      <c r="AT24" s="129"/>
      <c r="AU24" s="129"/>
      <c r="AV24" s="129"/>
      <c r="AW24" s="129"/>
      <c r="AX24" s="129"/>
      <c r="AY24" s="129"/>
      <c r="AZ24" s="129"/>
      <c r="BA24" s="129"/>
      <c r="BB24" s="129"/>
      <c r="BC24" s="129"/>
      <c r="BD24" s="129"/>
      <c r="BE24" s="129"/>
      <c r="BF24" s="129"/>
      <c r="BG24" s="129"/>
      <c r="BH24" s="129"/>
      <c r="BI24" s="129"/>
      <c r="BJ24" s="129"/>
      <c r="BK24" s="129"/>
      <c r="BL24" s="129"/>
      <c r="BM24" s="129"/>
      <c r="BN24" s="129"/>
      <c r="BO24" s="129"/>
      <c r="BP24" s="129"/>
      <c r="BQ24" s="129"/>
      <c r="BR24" s="129"/>
      <c r="BS24" s="129"/>
      <c r="BT24" s="129"/>
      <c r="BU24" s="129"/>
      <c r="BV24" s="129"/>
      <c r="BW24" s="129"/>
      <c r="BX24" s="129"/>
      <c r="BY24" s="129"/>
      <c r="BZ24" s="129"/>
      <c r="CA24" s="129"/>
      <c r="CB24" s="129"/>
      <c r="CC24" s="129"/>
      <c r="CD24" s="129"/>
      <c r="CE24" s="129"/>
      <c r="CF24" s="129"/>
      <c r="CG24" s="129"/>
      <c r="CH24" s="129"/>
      <c r="CI24" s="129"/>
      <c r="CJ24" s="129"/>
      <c r="CK24" s="129"/>
      <c r="CL24" s="129"/>
      <c r="CM24" s="129"/>
      <c r="CN24" s="129"/>
      <c r="CO24" s="129"/>
      <c r="CP24" s="129"/>
      <c r="CQ24" s="129"/>
      <c r="CR24" s="129"/>
      <c r="CS24" s="129"/>
      <c r="CT24" s="129"/>
    </row>
    <row r="25" spans="1:98" s="120" customFormat="1">
      <c r="A25" s="298" t="s">
        <v>309</v>
      </c>
      <c r="B25" s="299"/>
      <c r="C25" s="299"/>
      <c r="D25" s="299"/>
      <c r="E25" s="299"/>
      <c r="F25" s="3"/>
      <c r="G25" s="2"/>
      <c r="H25" s="129"/>
      <c r="I25" s="129"/>
      <c r="J25" s="129"/>
      <c r="K25" s="129"/>
      <c r="L25" s="129"/>
      <c r="M25" s="129"/>
      <c r="N25" s="129"/>
      <c r="O25" s="129"/>
      <c r="P25" s="129"/>
      <c r="Q25" s="129"/>
      <c r="R25" s="129"/>
      <c r="S25" s="129"/>
      <c r="T25" s="129"/>
      <c r="U25" s="129"/>
      <c r="V25" s="129"/>
      <c r="W25" s="129"/>
      <c r="X25" s="129"/>
      <c r="Y25" s="129"/>
      <c r="Z25" s="129"/>
      <c r="AA25" s="129"/>
      <c r="AB25" s="129"/>
      <c r="AC25" s="129"/>
      <c r="AD25" s="129"/>
      <c r="AE25" s="129"/>
      <c r="AF25" s="129"/>
      <c r="AG25" s="129"/>
      <c r="AH25" s="129"/>
      <c r="AI25" s="129"/>
      <c r="AJ25" s="129"/>
      <c r="AK25" s="129"/>
      <c r="AL25" s="129"/>
      <c r="AM25" s="129"/>
      <c r="AN25" s="129"/>
      <c r="AO25" s="129"/>
      <c r="AP25" s="129"/>
      <c r="AQ25" s="129"/>
      <c r="AR25" s="129"/>
      <c r="AS25" s="129"/>
      <c r="AT25" s="129"/>
      <c r="AU25" s="129"/>
      <c r="AV25" s="129"/>
      <c r="AW25" s="129"/>
      <c r="AX25" s="129"/>
      <c r="AY25" s="129"/>
      <c r="AZ25" s="129"/>
      <c r="BA25" s="129"/>
      <c r="BB25" s="129"/>
      <c r="BC25" s="129"/>
      <c r="BD25" s="129"/>
      <c r="BE25" s="129"/>
      <c r="BF25" s="129"/>
      <c r="BG25" s="129"/>
      <c r="BH25" s="129"/>
      <c r="BI25" s="129"/>
      <c r="BJ25" s="129"/>
      <c r="BK25" s="129"/>
      <c r="BL25" s="129"/>
      <c r="BM25" s="129"/>
      <c r="BN25" s="129"/>
      <c r="BO25" s="129"/>
      <c r="BP25" s="129"/>
      <c r="BQ25" s="129"/>
      <c r="BR25" s="129"/>
      <c r="BS25" s="129"/>
      <c r="BT25" s="129"/>
      <c r="BU25" s="129"/>
      <c r="BV25" s="129"/>
      <c r="BW25" s="129"/>
      <c r="BX25" s="129"/>
      <c r="BY25" s="129"/>
      <c r="BZ25" s="129"/>
      <c r="CA25" s="129"/>
      <c r="CB25" s="129"/>
      <c r="CC25" s="129"/>
      <c r="CD25" s="129"/>
      <c r="CE25" s="129"/>
      <c r="CF25" s="129"/>
      <c r="CG25" s="129"/>
      <c r="CH25" s="129"/>
      <c r="CI25" s="129"/>
      <c r="CJ25" s="129"/>
      <c r="CK25" s="129"/>
      <c r="CL25" s="129"/>
      <c r="CM25" s="129"/>
      <c r="CN25" s="129"/>
      <c r="CO25" s="129"/>
      <c r="CP25" s="129"/>
      <c r="CQ25" s="129"/>
      <c r="CR25" s="129"/>
      <c r="CS25" s="129"/>
      <c r="CT25" s="129"/>
    </row>
    <row r="26" spans="1:98" s="120" customFormat="1">
      <c r="A26" s="301" t="s">
        <v>123</v>
      </c>
      <c r="B26" s="301" t="s">
        <v>317</v>
      </c>
      <c r="C26" s="301" t="s">
        <v>7</v>
      </c>
      <c r="D26" s="302" t="s">
        <v>318</v>
      </c>
      <c r="E26" s="302" t="s">
        <v>319</v>
      </c>
      <c r="F26" s="3"/>
      <c r="G26" s="2"/>
      <c r="H26" s="129"/>
      <c r="I26" s="129"/>
      <c r="J26" s="129"/>
      <c r="K26" s="129"/>
      <c r="L26" s="129"/>
      <c r="M26" s="129"/>
      <c r="N26" s="129"/>
      <c r="O26" s="129"/>
      <c r="P26" s="129"/>
      <c r="Q26" s="129"/>
      <c r="R26" s="129"/>
      <c r="S26" s="129"/>
      <c r="T26" s="129"/>
      <c r="U26" s="129"/>
      <c r="V26" s="129"/>
      <c r="W26" s="129"/>
      <c r="X26" s="129"/>
      <c r="Y26" s="129"/>
      <c r="Z26" s="129"/>
      <c r="AA26" s="129"/>
      <c r="AB26" s="129"/>
      <c r="AC26" s="129"/>
      <c r="AD26" s="129"/>
      <c r="AE26" s="129"/>
      <c r="AF26" s="129"/>
      <c r="AG26" s="129"/>
      <c r="AH26" s="129"/>
      <c r="AI26" s="129"/>
      <c r="AJ26" s="129"/>
      <c r="AK26" s="129"/>
      <c r="AL26" s="129"/>
      <c r="AM26" s="129"/>
      <c r="AN26" s="129"/>
      <c r="AO26" s="129"/>
      <c r="AP26" s="129"/>
      <c r="AQ26" s="129"/>
      <c r="AR26" s="129"/>
      <c r="AS26" s="129"/>
      <c r="AT26" s="129"/>
      <c r="AU26" s="129"/>
      <c r="AV26" s="129"/>
      <c r="AW26" s="129"/>
      <c r="AX26" s="129"/>
      <c r="AY26" s="129"/>
      <c r="AZ26" s="129"/>
      <c r="BA26" s="129"/>
      <c r="BB26" s="129"/>
      <c r="BC26" s="129"/>
      <c r="BD26" s="129"/>
      <c r="BE26" s="129"/>
      <c r="BF26" s="129"/>
      <c r="BG26" s="129"/>
      <c r="BH26" s="129"/>
      <c r="BI26" s="129"/>
      <c r="BJ26" s="129"/>
      <c r="BK26" s="129"/>
      <c r="BL26" s="129"/>
      <c r="BM26" s="129"/>
      <c r="BN26" s="129"/>
      <c r="BO26" s="129"/>
      <c r="BP26" s="129"/>
      <c r="BQ26" s="129"/>
      <c r="BR26" s="129"/>
      <c r="BS26" s="129"/>
      <c r="BT26" s="129"/>
      <c r="BU26" s="129"/>
      <c r="BV26" s="129"/>
      <c r="BW26" s="129"/>
      <c r="BX26" s="129"/>
      <c r="BY26" s="129"/>
      <c r="BZ26" s="129"/>
      <c r="CA26" s="129"/>
      <c r="CB26" s="129"/>
      <c r="CC26" s="129"/>
      <c r="CD26" s="129"/>
      <c r="CE26" s="129"/>
      <c r="CF26" s="129"/>
      <c r="CG26" s="129"/>
      <c r="CH26" s="129"/>
      <c r="CI26" s="129"/>
      <c r="CJ26" s="129"/>
      <c r="CK26" s="129"/>
      <c r="CL26" s="129"/>
      <c r="CM26" s="129"/>
      <c r="CN26" s="129"/>
      <c r="CO26" s="129"/>
      <c r="CP26" s="129"/>
      <c r="CQ26" s="129"/>
      <c r="CR26" s="129"/>
      <c r="CS26" s="129"/>
      <c r="CT26" s="129"/>
    </row>
    <row r="27" spans="1:98" s="120" customFormat="1" ht="23.4">
      <c r="A27" s="303">
        <v>5</v>
      </c>
      <c r="B27" s="300" t="s">
        <v>280</v>
      </c>
      <c r="C27" s="303">
        <v>1</v>
      </c>
      <c r="D27" s="305">
        <f>VLOOKUP(F27,'Produtos Grupo B'!A:F,6,0)*12</f>
        <v>241156.91062993358</v>
      </c>
      <c r="E27" s="305">
        <f>D27*C27</f>
        <v>241156.91062993358</v>
      </c>
      <c r="F27" s="304" t="str">
        <f t="shared" ref="F27:F36" si="2">"valor mês produto "&amp;A27</f>
        <v>valor mês produto 5</v>
      </c>
      <c r="G27" s="2"/>
      <c r="H27" s="129"/>
      <c r="I27" s="129"/>
      <c r="J27" s="129"/>
      <c r="K27" s="129"/>
      <c r="L27" s="129"/>
      <c r="M27" s="129"/>
      <c r="N27" s="129"/>
      <c r="O27" s="129"/>
      <c r="P27" s="129"/>
      <c r="Q27" s="129"/>
      <c r="R27" s="129"/>
      <c r="S27" s="129"/>
      <c r="T27" s="129"/>
      <c r="U27" s="129"/>
      <c r="V27" s="129"/>
      <c r="W27" s="129"/>
      <c r="X27" s="129"/>
      <c r="Y27" s="129"/>
      <c r="Z27" s="129"/>
      <c r="AA27" s="129"/>
      <c r="AB27" s="129"/>
      <c r="AC27" s="129"/>
      <c r="AD27" s="129"/>
      <c r="AE27" s="129"/>
      <c r="AF27" s="129"/>
      <c r="AG27" s="129"/>
      <c r="AH27" s="129"/>
      <c r="AI27" s="129"/>
      <c r="AJ27" s="129"/>
      <c r="AK27" s="129"/>
      <c r="AL27" s="129"/>
      <c r="AM27" s="129"/>
      <c r="AN27" s="129"/>
      <c r="AO27" s="129"/>
      <c r="AP27" s="129"/>
      <c r="AQ27" s="129"/>
      <c r="AR27" s="129"/>
      <c r="AS27" s="129"/>
      <c r="AT27" s="129"/>
      <c r="AU27" s="129"/>
      <c r="AV27" s="129"/>
      <c r="AW27" s="129"/>
      <c r="AX27" s="129"/>
      <c r="AY27" s="129"/>
      <c r="AZ27" s="129"/>
      <c r="BA27" s="129"/>
      <c r="BB27" s="129"/>
      <c r="BC27" s="129"/>
      <c r="BD27" s="129"/>
      <c r="BE27" s="129"/>
      <c r="BF27" s="129"/>
      <c r="BG27" s="129"/>
      <c r="BH27" s="129"/>
      <c r="BI27" s="129"/>
      <c r="BJ27" s="129"/>
      <c r="BK27" s="129"/>
      <c r="BL27" s="129"/>
      <c r="BM27" s="129"/>
      <c r="BN27" s="129"/>
      <c r="BO27" s="129"/>
      <c r="BP27" s="129"/>
      <c r="BQ27" s="129"/>
      <c r="BR27" s="129"/>
      <c r="BS27" s="129"/>
      <c r="BT27" s="129"/>
      <c r="BU27" s="129"/>
      <c r="BV27" s="129"/>
      <c r="BW27" s="129"/>
      <c r="BX27" s="129"/>
      <c r="BY27" s="129"/>
      <c r="BZ27" s="129"/>
      <c r="CA27" s="129"/>
      <c r="CB27" s="129"/>
      <c r="CC27" s="129"/>
      <c r="CD27" s="129"/>
      <c r="CE27" s="129"/>
      <c r="CF27" s="129"/>
      <c r="CG27" s="129"/>
      <c r="CH27" s="129"/>
      <c r="CI27" s="129"/>
      <c r="CJ27" s="129"/>
      <c r="CK27" s="129"/>
      <c r="CL27" s="129"/>
      <c r="CM27" s="129"/>
      <c r="CN27" s="129"/>
      <c r="CO27" s="129"/>
      <c r="CP27" s="129"/>
      <c r="CQ27" s="129"/>
      <c r="CR27" s="129"/>
      <c r="CS27" s="129"/>
      <c r="CT27" s="129"/>
    </row>
    <row r="28" spans="1:98" s="120" customFormat="1" ht="23.4">
      <c r="A28" s="303">
        <v>6</v>
      </c>
      <c r="B28" s="300" t="s">
        <v>281</v>
      </c>
      <c r="C28" s="303">
        <v>1</v>
      </c>
      <c r="D28" s="305">
        <f>VLOOKUP(F28,'Produtos Grupo B'!A:F,6,0)*12</f>
        <v>241156.91062993358</v>
      </c>
      <c r="E28" s="305">
        <f t="shared" ref="E28:E36" si="3">D28*C28</f>
        <v>241156.91062993358</v>
      </c>
      <c r="F28" s="304" t="str">
        <f t="shared" si="2"/>
        <v>valor mês produto 6</v>
      </c>
      <c r="G28" s="2"/>
      <c r="H28" s="129"/>
      <c r="I28" s="129"/>
      <c r="J28" s="129"/>
      <c r="K28" s="129"/>
      <c r="L28" s="129"/>
      <c r="M28" s="129"/>
      <c r="N28" s="129"/>
      <c r="O28" s="129"/>
      <c r="P28" s="129"/>
      <c r="Q28" s="129"/>
      <c r="R28" s="129"/>
      <c r="S28" s="129"/>
      <c r="T28" s="129"/>
      <c r="U28" s="129"/>
      <c r="V28" s="129"/>
      <c r="W28" s="129"/>
      <c r="X28" s="129"/>
      <c r="Y28" s="129"/>
      <c r="Z28" s="129"/>
      <c r="AA28" s="129"/>
      <c r="AB28" s="129"/>
      <c r="AC28" s="129"/>
      <c r="AD28" s="129"/>
      <c r="AE28" s="129"/>
      <c r="AF28" s="129"/>
      <c r="AG28" s="129"/>
      <c r="AH28" s="129"/>
      <c r="AI28" s="129"/>
      <c r="AJ28" s="129"/>
      <c r="AK28" s="129"/>
      <c r="AL28" s="129"/>
      <c r="AM28" s="129"/>
      <c r="AN28" s="129"/>
      <c r="AO28" s="129"/>
      <c r="AP28" s="129"/>
      <c r="AQ28" s="129"/>
      <c r="AR28" s="129"/>
      <c r="AS28" s="129"/>
      <c r="AT28" s="129"/>
      <c r="AU28" s="129"/>
      <c r="AV28" s="129"/>
      <c r="AW28" s="129"/>
      <c r="AX28" s="129"/>
      <c r="AY28" s="129"/>
      <c r="AZ28" s="129"/>
      <c r="BA28" s="129"/>
      <c r="BB28" s="129"/>
      <c r="BC28" s="129"/>
      <c r="BD28" s="129"/>
      <c r="BE28" s="129"/>
      <c r="BF28" s="129"/>
      <c r="BG28" s="129"/>
      <c r="BH28" s="129"/>
      <c r="BI28" s="129"/>
      <c r="BJ28" s="129"/>
      <c r="BK28" s="129"/>
      <c r="BL28" s="129"/>
      <c r="BM28" s="129"/>
      <c r="BN28" s="129"/>
      <c r="BO28" s="129"/>
      <c r="BP28" s="129"/>
      <c r="BQ28" s="129"/>
      <c r="BR28" s="129"/>
      <c r="BS28" s="129"/>
      <c r="BT28" s="129"/>
      <c r="BU28" s="129"/>
      <c r="BV28" s="129"/>
      <c r="BW28" s="129"/>
      <c r="BX28" s="129"/>
      <c r="BY28" s="129"/>
      <c r="BZ28" s="129"/>
      <c r="CA28" s="129"/>
      <c r="CB28" s="129"/>
      <c r="CC28" s="129"/>
      <c r="CD28" s="129"/>
      <c r="CE28" s="129"/>
      <c r="CF28" s="129"/>
      <c r="CG28" s="129"/>
      <c r="CH28" s="129"/>
      <c r="CI28" s="129"/>
      <c r="CJ28" s="129"/>
      <c r="CK28" s="129"/>
      <c r="CL28" s="129"/>
      <c r="CM28" s="129"/>
      <c r="CN28" s="129"/>
      <c r="CO28" s="129"/>
      <c r="CP28" s="129"/>
      <c r="CQ28" s="129"/>
      <c r="CR28" s="129"/>
      <c r="CS28" s="129"/>
      <c r="CT28" s="129"/>
    </row>
    <row r="29" spans="1:98" s="120" customFormat="1" ht="23.4">
      <c r="A29" s="303">
        <v>7</v>
      </c>
      <c r="B29" s="300" t="s">
        <v>282</v>
      </c>
      <c r="C29" s="303">
        <v>1</v>
      </c>
      <c r="D29" s="305">
        <f>VLOOKUP(F29,'Produtos Grupo B'!A:F,6,0)*12</f>
        <v>241156.91062993358</v>
      </c>
      <c r="E29" s="305">
        <f t="shared" si="3"/>
        <v>241156.91062993358</v>
      </c>
      <c r="F29" s="304" t="str">
        <f t="shared" si="2"/>
        <v>valor mês produto 7</v>
      </c>
      <c r="G29" s="2"/>
      <c r="H29" s="129"/>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29"/>
      <c r="AR29" s="129"/>
      <c r="AS29" s="129"/>
      <c r="AT29" s="129"/>
      <c r="AU29" s="129"/>
      <c r="AV29" s="129"/>
      <c r="AW29" s="129"/>
      <c r="AX29" s="129"/>
      <c r="AY29" s="129"/>
      <c r="AZ29" s="129"/>
      <c r="BA29" s="129"/>
      <c r="BB29" s="129"/>
      <c r="BC29" s="129"/>
      <c r="BD29" s="129"/>
      <c r="BE29" s="129"/>
      <c r="BF29" s="129"/>
      <c r="BG29" s="129"/>
      <c r="BH29" s="129"/>
      <c r="BI29" s="129"/>
      <c r="BJ29" s="129"/>
      <c r="BK29" s="129"/>
      <c r="BL29" s="129"/>
      <c r="BM29" s="129"/>
      <c r="BN29" s="129"/>
      <c r="BO29" s="129"/>
      <c r="BP29" s="129"/>
      <c r="BQ29" s="129"/>
      <c r="BR29" s="129"/>
      <c r="BS29" s="129"/>
      <c r="BT29" s="129"/>
      <c r="BU29" s="129"/>
      <c r="BV29" s="129"/>
      <c r="BW29" s="129"/>
      <c r="BX29" s="129"/>
      <c r="BY29" s="129"/>
      <c r="BZ29" s="129"/>
      <c r="CA29" s="129"/>
      <c r="CB29" s="129"/>
      <c r="CC29" s="129"/>
      <c r="CD29" s="129"/>
      <c r="CE29" s="129"/>
      <c r="CF29" s="129"/>
      <c r="CG29" s="129"/>
      <c r="CH29" s="129"/>
      <c r="CI29" s="129"/>
      <c r="CJ29" s="129"/>
      <c r="CK29" s="129"/>
      <c r="CL29" s="129"/>
      <c r="CM29" s="129"/>
      <c r="CN29" s="129"/>
      <c r="CO29" s="129"/>
      <c r="CP29" s="129"/>
      <c r="CQ29" s="129"/>
      <c r="CR29" s="129"/>
      <c r="CS29" s="129"/>
      <c r="CT29" s="129"/>
    </row>
    <row r="30" spans="1:98" s="120" customFormat="1" ht="23.4">
      <c r="A30" s="303">
        <v>8</v>
      </c>
      <c r="B30" s="300" t="s">
        <v>275</v>
      </c>
      <c r="C30" s="303">
        <v>1</v>
      </c>
      <c r="D30" s="305">
        <f>VLOOKUP(F30,'Produtos Grupo B'!A:F,6,0)*12</f>
        <v>241156.91062993358</v>
      </c>
      <c r="E30" s="305">
        <f t="shared" si="3"/>
        <v>241156.91062993358</v>
      </c>
      <c r="F30" s="304" t="str">
        <f t="shared" si="2"/>
        <v>valor mês produto 8</v>
      </c>
      <c r="G30" s="2"/>
      <c r="H30" s="129"/>
      <c r="I30" s="129"/>
      <c r="J30" s="129"/>
      <c r="K30" s="129"/>
      <c r="L30" s="129"/>
      <c r="M30" s="129"/>
      <c r="N30" s="129"/>
      <c r="O30" s="129"/>
      <c r="P30" s="129"/>
      <c r="Q30" s="129"/>
      <c r="R30" s="129"/>
      <c r="S30" s="129"/>
      <c r="T30" s="129"/>
      <c r="U30" s="129"/>
      <c r="V30" s="129"/>
      <c r="W30" s="129"/>
      <c r="X30" s="129"/>
      <c r="Y30" s="129"/>
      <c r="Z30" s="129"/>
      <c r="AA30" s="129"/>
      <c r="AB30" s="129"/>
      <c r="AC30" s="129"/>
      <c r="AD30" s="129"/>
      <c r="AE30" s="129"/>
      <c r="AF30" s="129"/>
      <c r="AG30" s="129"/>
      <c r="AH30" s="129"/>
      <c r="AI30" s="129"/>
      <c r="AJ30" s="129"/>
      <c r="AK30" s="129"/>
      <c r="AL30" s="129"/>
      <c r="AM30" s="129"/>
      <c r="AN30" s="129"/>
      <c r="AO30" s="129"/>
      <c r="AP30" s="129"/>
      <c r="AQ30" s="129"/>
      <c r="AR30" s="129"/>
      <c r="AS30" s="129"/>
      <c r="AT30" s="129"/>
      <c r="AU30" s="129"/>
      <c r="AV30" s="129"/>
      <c r="AW30" s="129"/>
      <c r="AX30" s="129"/>
      <c r="AY30" s="129"/>
      <c r="AZ30" s="129"/>
      <c r="BA30" s="129"/>
      <c r="BB30" s="129"/>
      <c r="BC30" s="129"/>
      <c r="BD30" s="129"/>
      <c r="BE30" s="129"/>
      <c r="BF30" s="129"/>
      <c r="BG30" s="129"/>
      <c r="BH30" s="129"/>
      <c r="BI30" s="129"/>
      <c r="BJ30" s="129"/>
      <c r="BK30" s="129"/>
      <c r="BL30" s="129"/>
      <c r="BM30" s="129"/>
      <c r="BN30" s="129"/>
      <c r="BO30" s="129"/>
      <c r="BP30" s="129"/>
      <c r="BQ30" s="129"/>
      <c r="BR30" s="129"/>
      <c r="BS30" s="129"/>
      <c r="BT30" s="129"/>
      <c r="BU30" s="129"/>
      <c r="BV30" s="129"/>
      <c r="BW30" s="129"/>
      <c r="BX30" s="129"/>
      <c r="BY30" s="129"/>
      <c r="BZ30" s="129"/>
      <c r="CA30" s="129"/>
      <c r="CB30" s="129"/>
      <c r="CC30" s="129"/>
      <c r="CD30" s="129"/>
      <c r="CE30" s="129"/>
      <c r="CF30" s="129"/>
      <c r="CG30" s="129"/>
      <c r="CH30" s="129"/>
      <c r="CI30" s="129"/>
      <c r="CJ30" s="129"/>
      <c r="CK30" s="129"/>
      <c r="CL30" s="129"/>
      <c r="CM30" s="129"/>
      <c r="CN30" s="129"/>
      <c r="CO30" s="129"/>
      <c r="CP30" s="129"/>
      <c r="CQ30" s="129"/>
      <c r="CR30" s="129"/>
      <c r="CS30" s="129"/>
      <c r="CT30" s="129"/>
    </row>
    <row r="31" spans="1:98" s="120" customFormat="1" ht="23.4">
      <c r="A31" s="303">
        <v>9</v>
      </c>
      <c r="B31" s="300" t="s">
        <v>283</v>
      </c>
      <c r="C31" s="303">
        <v>1</v>
      </c>
      <c r="D31" s="305">
        <f>VLOOKUP(F31,'Produtos Grupo B'!A:F,6,0)*12</f>
        <v>241156.91062993358</v>
      </c>
      <c r="E31" s="305">
        <f t="shared" si="3"/>
        <v>241156.91062993358</v>
      </c>
      <c r="F31" s="304" t="str">
        <f t="shared" si="2"/>
        <v>valor mês produto 9</v>
      </c>
      <c r="G31" s="2"/>
      <c r="H31" s="129"/>
      <c r="I31" s="129"/>
      <c r="J31" s="129"/>
      <c r="K31" s="129"/>
      <c r="L31" s="129"/>
      <c r="M31" s="129"/>
      <c r="N31" s="129"/>
      <c r="O31" s="129"/>
      <c r="P31" s="129"/>
      <c r="Q31" s="129"/>
      <c r="R31" s="129"/>
      <c r="S31" s="129"/>
      <c r="T31" s="129"/>
      <c r="U31" s="129"/>
      <c r="V31" s="129"/>
      <c r="W31" s="129"/>
      <c r="X31" s="129"/>
      <c r="Y31" s="129"/>
      <c r="Z31" s="129"/>
      <c r="AA31" s="129"/>
      <c r="AB31" s="129"/>
      <c r="AC31" s="129"/>
      <c r="AD31" s="129"/>
      <c r="AE31" s="129"/>
      <c r="AF31" s="129"/>
      <c r="AG31" s="129"/>
      <c r="AH31" s="129"/>
      <c r="AI31" s="129"/>
      <c r="AJ31" s="129"/>
      <c r="AK31" s="129"/>
      <c r="AL31" s="129"/>
      <c r="AM31" s="129"/>
      <c r="AN31" s="129"/>
      <c r="AO31" s="129"/>
      <c r="AP31" s="129"/>
      <c r="AQ31" s="129"/>
      <c r="AR31" s="129"/>
      <c r="AS31" s="129"/>
      <c r="AT31" s="129"/>
      <c r="AU31" s="129"/>
      <c r="AV31" s="129"/>
      <c r="AW31" s="129"/>
      <c r="AX31" s="129"/>
      <c r="AY31" s="129"/>
      <c r="AZ31" s="129"/>
      <c r="BA31" s="129"/>
      <c r="BB31" s="129"/>
      <c r="BC31" s="129"/>
      <c r="BD31" s="129"/>
      <c r="BE31" s="129"/>
      <c r="BF31" s="129"/>
      <c r="BG31" s="129"/>
      <c r="BH31" s="129"/>
      <c r="BI31" s="129"/>
      <c r="BJ31" s="129"/>
      <c r="BK31" s="129"/>
      <c r="BL31" s="129"/>
      <c r="BM31" s="129"/>
      <c r="BN31" s="129"/>
      <c r="BO31" s="129"/>
      <c r="BP31" s="129"/>
      <c r="BQ31" s="129"/>
      <c r="BR31" s="129"/>
      <c r="BS31" s="129"/>
      <c r="BT31" s="129"/>
      <c r="BU31" s="129"/>
      <c r="BV31" s="129"/>
      <c r="BW31" s="129"/>
      <c r="BX31" s="129"/>
      <c r="BY31" s="129"/>
      <c r="BZ31" s="129"/>
      <c r="CA31" s="129"/>
      <c r="CB31" s="129"/>
      <c r="CC31" s="129"/>
      <c r="CD31" s="129"/>
      <c r="CE31" s="129"/>
      <c r="CF31" s="129"/>
      <c r="CG31" s="129"/>
      <c r="CH31" s="129"/>
      <c r="CI31" s="129"/>
      <c r="CJ31" s="129"/>
      <c r="CK31" s="129"/>
      <c r="CL31" s="129"/>
      <c r="CM31" s="129"/>
      <c r="CN31" s="129"/>
      <c r="CO31" s="129"/>
      <c r="CP31" s="129"/>
      <c r="CQ31" s="129"/>
      <c r="CR31" s="129"/>
      <c r="CS31" s="129"/>
      <c r="CT31" s="129"/>
    </row>
    <row r="32" spans="1:98" s="120" customFormat="1" ht="23.4">
      <c r="A32" s="303">
        <v>10</v>
      </c>
      <c r="B32" s="300" t="s">
        <v>284</v>
      </c>
      <c r="C32" s="303">
        <v>1</v>
      </c>
      <c r="D32" s="305">
        <f>VLOOKUP(F32,'Produtos Grupo B'!A:F,6,0)*12</f>
        <v>241156.91062993358</v>
      </c>
      <c r="E32" s="305">
        <f t="shared" si="3"/>
        <v>241156.91062993358</v>
      </c>
      <c r="F32" s="304" t="str">
        <f t="shared" si="2"/>
        <v>valor mês produto 10</v>
      </c>
      <c r="G32" s="2"/>
      <c r="H32" s="129"/>
      <c r="I32" s="129"/>
      <c r="J32" s="129"/>
      <c r="K32" s="129"/>
      <c r="L32" s="129"/>
      <c r="M32" s="129"/>
      <c r="N32" s="129"/>
      <c r="O32" s="129"/>
      <c r="P32" s="129"/>
      <c r="Q32" s="129"/>
      <c r="R32" s="129"/>
      <c r="S32" s="129"/>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29"/>
      <c r="AU32" s="129"/>
      <c r="AV32" s="129"/>
      <c r="AW32" s="129"/>
      <c r="AX32" s="129"/>
      <c r="AY32" s="129"/>
      <c r="AZ32" s="129"/>
      <c r="BA32" s="129"/>
      <c r="BB32" s="129"/>
      <c r="BC32" s="129"/>
      <c r="BD32" s="129"/>
      <c r="BE32" s="129"/>
      <c r="BF32" s="129"/>
      <c r="BG32" s="129"/>
      <c r="BH32" s="129"/>
      <c r="BI32" s="129"/>
      <c r="BJ32" s="129"/>
      <c r="BK32" s="129"/>
      <c r="BL32" s="129"/>
      <c r="BM32" s="129"/>
      <c r="BN32" s="129"/>
      <c r="BO32" s="129"/>
      <c r="BP32" s="129"/>
      <c r="BQ32" s="129"/>
      <c r="BR32" s="129"/>
      <c r="BS32" s="129"/>
      <c r="BT32" s="129"/>
      <c r="BU32" s="129"/>
      <c r="BV32" s="129"/>
      <c r="BW32" s="129"/>
      <c r="BX32" s="129"/>
      <c r="BY32" s="129"/>
      <c r="BZ32" s="129"/>
      <c r="CA32" s="129"/>
      <c r="CB32" s="129"/>
      <c r="CC32" s="129"/>
      <c r="CD32" s="129"/>
      <c r="CE32" s="129"/>
      <c r="CF32" s="129"/>
      <c r="CG32" s="129"/>
      <c r="CH32" s="129"/>
      <c r="CI32" s="129"/>
      <c r="CJ32" s="129"/>
      <c r="CK32" s="129"/>
      <c r="CL32" s="129"/>
      <c r="CM32" s="129"/>
      <c r="CN32" s="129"/>
      <c r="CO32" s="129"/>
      <c r="CP32" s="129"/>
      <c r="CQ32" s="129"/>
      <c r="CR32" s="129"/>
      <c r="CS32" s="129"/>
      <c r="CT32" s="129"/>
    </row>
    <row r="33" spans="1:98" s="120" customFormat="1" ht="23.4">
      <c r="A33" s="303">
        <v>11</v>
      </c>
      <c r="B33" s="300" t="s">
        <v>285</v>
      </c>
      <c r="C33" s="303">
        <v>1</v>
      </c>
      <c r="D33" s="305">
        <f>VLOOKUP(F33,'Produtos Grupo B'!A:F,6,0)*12</f>
        <v>241156.91062993358</v>
      </c>
      <c r="E33" s="305">
        <f t="shared" si="3"/>
        <v>241156.91062993358</v>
      </c>
      <c r="F33" s="304" t="str">
        <f t="shared" si="2"/>
        <v>valor mês produto 11</v>
      </c>
      <c r="G33" s="2"/>
      <c r="H33" s="129"/>
      <c r="I33" s="129"/>
      <c r="J33" s="129"/>
      <c r="K33" s="129"/>
      <c r="L33" s="129"/>
      <c r="M33" s="129"/>
      <c r="N33" s="129"/>
      <c r="O33" s="129"/>
      <c r="P33" s="129"/>
      <c r="Q33" s="129"/>
      <c r="R33" s="129"/>
      <c r="S33" s="129"/>
      <c r="T33" s="129"/>
      <c r="U33" s="129"/>
      <c r="V33" s="129"/>
      <c r="W33" s="129"/>
      <c r="X33" s="129"/>
      <c r="Y33" s="129"/>
      <c r="Z33" s="129"/>
      <c r="AA33" s="129"/>
      <c r="AB33" s="129"/>
      <c r="AC33" s="129"/>
      <c r="AD33" s="129"/>
      <c r="AE33" s="129"/>
      <c r="AF33" s="129"/>
      <c r="AG33" s="129"/>
      <c r="AH33" s="129"/>
      <c r="AI33" s="129"/>
      <c r="AJ33" s="129"/>
      <c r="AK33" s="129"/>
      <c r="AL33" s="129"/>
      <c r="AM33" s="129"/>
      <c r="AN33" s="129"/>
      <c r="AO33" s="129"/>
      <c r="AP33" s="129"/>
      <c r="AQ33" s="129"/>
      <c r="AR33" s="129"/>
      <c r="AS33" s="129"/>
      <c r="AT33" s="129"/>
      <c r="AU33" s="129"/>
      <c r="AV33" s="129"/>
      <c r="AW33" s="129"/>
      <c r="AX33" s="129"/>
      <c r="AY33" s="129"/>
      <c r="AZ33" s="129"/>
      <c r="BA33" s="129"/>
      <c r="BB33" s="129"/>
      <c r="BC33" s="129"/>
      <c r="BD33" s="129"/>
      <c r="BE33" s="129"/>
      <c r="BF33" s="129"/>
      <c r="BG33" s="129"/>
      <c r="BH33" s="129"/>
      <c r="BI33" s="129"/>
      <c r="BJ33" s="129"/>
      <c r="BK33" s="129"/>
      <c r="BL33" s="129"/>
      <c r="BM33" s="129"/>
      <c r="BN33" s="129"/>
      <c r="BO33" s="129"/>
      <c r="BP33" s="129"/>
      <c r="BQ33" s="129"/>
      <c r="BR33" s="129"/>
      <c r="BS33" s="129"/>
      <c r="BT33" s="129"/>
      <c r="BU33" s="129"/>
      <c r="BV33" s="129"/>
      <c r="BW33" s="129"/>
      <c r="BX33" s="129"/>
      <c r="BY33" s="129"/>
      <c r="BZ33" s="129"/>
      <c r="CA33" s="129"/>
      <c r="CB33" s="129"/>
      <c r="CC33" s="129"/>
      <c r="CD33" s="129"/>
      <c r="CE33" s="129"/>
      <c r="CF33" s="129"/>
      <c r="CG33" s="129"/>
      <c r="CH33" s="129"/>
      <c r="CI33" s="129"/>
      <c r="CJ33" s="129"/>
      <c r="CK33" s="129"/>
      <c r="CL33" s="129"/>
      <c r="CM33" s="129"/>
      <c r="CN33" s="129"/>
      <c r="CO33" s="129"/>
      <c r="CP33" s="129"/>
      <c r="CQ33" s="129"/>
      <c r="CR33" s="129"/>
      <c r="CS33" s="129"/>
      <c r="CT33" s="129"/>
    </row>
    <row r="34" spans="1:98" s="120" customFormat="1" ht="23.4">
      <c r="A34" s="303">
        <v>12</v>
      </c>
      <c r="B34" s="300" t="s">
        <v>278</v>
      </c>
      <c r="C34" s="303">
        <v>1</v>
      </c>
      <c r="D34" s="305">
        <f>VLOOKUP(F34,'Produtos Grupo B'!A:F,6,0)*12</f>
        <v>241156.91062993358</v>
      </c>
      <c r="E34" s="305">
        <f t="shared" si="3"/>
        <v>241156.91062993358</v>
      </c>
      <c r="F34" s="304" t="str">
        <f t="shared" si="2"/>
        <v>valor mês produto 12</v>
      </c>
      <c r="G34" s="2"/>
      <c r="H34" s="129"/>
      <c r="I34" s="129"/>
      <c r="J34" s="129"/>
      <c r="K34" s="129"/>
      <c r="L34" s="129"/>
      <c r="M34" s="129"/>
      <c r="N34" s="129"/>
      <c r="O34" s="129"/>
      <c r="P34" s="129"/>
      <c r="Q34" s="129"/>
      <c r="R34" s="129"/>
      <c r="S34" s="129"/>
      <c r="T34" s="129"/>
      <c r="U34" s="129"/>
      <c r="V34" s="129"/>
      <c r="W34" s="129"/>
      <c r="X34" s="129"/>
      <c r="Y34" s="129"/>
      <c r="Z34" s="129"/>
      <c r="AA34" s="129"/>
      <c r="AB34" s="129"/>
      <c r="AC34" s="129"/>
      <c r="AD34" s="129"/>
      <c r="AE34" s="129"/>
      <c r="AF34" s="129"/>
      <c r="AG34" s="129"/>
      <c r="AH34" s="129"/>
      <c r="AI34" s="129"/>
      <c r="AJ34" s="129"/>
      <c r="AK34" s="129"/>
      <c r="AL34" s="129"/>
      <c r="AM34" s="129"/>
      <c r="AN34" s="129"/>
      <c r="AO34" s="129"/>
      <c r="AP34" s="129"/>
      <c r="AQ34" s="129"/>
      <c r="AR34" s="129"/>
      <c r="AS34" s="129"/>
      <c r="AT34" s="129"/>
      <c r="AU34" s="129"/>
      <c r="AV34" s="129"/>
      <c r="AW34" s="129"/>
      <c r="AX34" s="129"/>
      <c r="AY34" s="129"/>
      <c r="AZ34" s="129"/>
      <c r="BA34" s="129"/>
      <c r="BB34" s="129"/>
      <c r="BC34" s="129"/>
      <c r="BD34" s="129"/>
      <c r="BE34" s="129"/>
      <c r="BF34" s="129"/>
      <c r="BG34" s="129"/>
      <c r="BH34" s="129"/>
      <c r="BI34" s="129"/>
      <c r="BJ34" s="129"/>
      <c r="BK34" s="129"/>
      <c r="BL34" s="129"/>
      <c r="BM34" s="129"/>
      <c r="BN34" s="129"/>
      <c r="BO34" s="129"/>
      <c r="BP34" s="129"/>
      <c r="BQ34" s="129"/>
      <c r="BR34" s="129"/>
      <c r="BS34" s="129"/>
      <c r="BT34" s="129"/>
      <c r="BU34" s="129"/>
      <c r="BV34" s="129"/>
      <c r="BW34" s="129"/>
      <c r="BX34" s="129"/>
      <c r="BY34" s="129"/>
      <c r="BZ34" s="129"/>
      <c r="CA34" s="129"/>
      <c r="CB34" s="129"/>
      <c r="CC34" s="129"/>
      <c r="CD34" s="129"/>
      <c r="CE34" s="129"/>
      <c r="CF34" s="129"/>
      <c r="CG34" s="129"/>
      <c r="CH34" s="129"/>
      <c r="CI34" s="129"/>
      <c r="CJ34" s="129"/>
      <c r="CK34" s="129"/>
      <c r="CL34" s="129"/>
      <c r="CM34" s="129"/>
      <c r="CN34" s="129"/>
      <c r="CO34" s="129"/>
      <c r="CP34" s="129"/>
      <c r="CQ34" s="129"/>
      <c r="CR34" s="129"/>
      <c r="CS34" s="129"/>
      <c r="CT34" s="129"/>
    </row>
    <row r="35" spans="1:98" s="120" customFormat="1" ht="23.4">
      <c r="A35" s="303">
        <v>13</v>
      </c>
      <c r="B35" s="300" t="s">
        <v>286</v>
      </c>
      <c r="C35" s="303">
        <v>1</v>
      </c>
      <c r="D35" s="305">
        <f>VLOOKUP(F35,'Produtos Grupo B'!A:F,6,0)*12</f>
        <v>241156.91062993358</v>
      </c>
      <c r="E35" s="305">
        <f t="shared" si="3"/>
        <v>241156.91062993358</v>
      </c>
      <c r="F35" s="304" t="str">
        <f t="shared" si="2"/>
        <v>valor mês produto 13</v>
      </c>
      <c r="G35" s="2"/>
      <c r="H35" s="129"/>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c r="AV35" s="129"/>
      <c r="AW35" s="129"/>
      <c r="AX35" s="129"/>
      <c r="AY35" s="129"/>
      <c r="AZ35" s="129"/>
      <c r="BA35" s="129"/>
      <c r="BB35" s="129"/>
      <c r="BC35" s="129"/>
      <c r="BD35" s="129"/>
      <c r="BE35" s="129"/>
      <c r="BF35" s="129"/>
      <c r="BG35" s="129"/>
      <c r="BH35" s="129"/>
      <c r="BI35" s="129"/>
      <c r="BJ35" s="129"/>
      <c r="BK35" s="129"/>
      <c r="BL35" s="129"/>
      <c r="BM35" s="129"/>
      <c r="BN35" s="129"/>
      <c r="BO35" s="129"/>
      <c r="BP35" s="129"/>
      <c r="BQ35" s="129"/>
      <c r="BR35" s="129"/>
      <c r="BS35" s="129"/>
      <c r="BT35" s="129"/>
      <c r="BU35" s="129"/>
      <c r="BV35" s="129"/>
      <c r="BW35" s="129"/>
      <c r="BX35" s="129"/>
      <c r="BY35" s="129"/>
      <c r="BZ35" s="129"/>
      <c r="CA35" s="129"/>
      <c r="CB35" s="129"/>
      <c r="CC35" s="129"/>
      <c r="CD35" s="129"/>
      <c r="CE35" s="129"/>
      <c r="CF35" s="129"/>
      <c r="CG35" s="129"/>
      <c r="CH35" s="129"/>
      <c r="CI35" s="129"/>
      <c r="CJ35" s="129"/>
      <c r="CK35" s="129"/>
      <c r="CL35" s="129"/>
      <c r="CM35" s="129"/>
      <c r="CN35" s="129"/>
      <c r="CO35" s="129"/>
      <c r="CP35" s="129"/>
      <c r="CQ35" s="129"/>
      <c r="CR35" s="129"/>
      <c r="CS35" s="129"/>
      <c r="CT35" s="129"/>
    </row>
    <row r="36" spans="1:98" s="120" customFormat="1" ht="23.4">
      <c r="A36" s="303">
        <v>14</v>
      </c>
      <c r="B36" s="300" t="s">
        <v>287</v>
      </c>
      <c r="C36" s="303">
        <v>1</v>
      </c>
      <c r="D36" s="305">
        <f>VLOOKUP(F36,'Produtos Grupo B'!A:F,6,0)*12</f>
        <v>241156.91062993358</v>
      </c>
      <c r="E36" s="305">
        <f t="shared" si="3"/>
        <v>241156.91062993358</v>
      </c>
      <c r="F36" s="304" t="str">
        <f t="shared" si="2"/>
        <v>valor mês produto 14</v>
      </c>
      <c r="G36" s="2"/>
      <c r="H36" s="129"/>
      <c r="I36" s="129"/>
      <c r="J36" s="129"/>
      <c r="K36" s="129"/>
      <c r="L36" s="129"/>
      <c r="M36" s="129"/>
      <c r="N36" s="129"/>
      <c r="O36" s="129"/>
      <c r="P36" s="129"/>
      <c r="Q36" s="129"/>
      <c r="R36" s="129"/>
      <c r="S36" s="129"/>
      <c r="T36" s="129"/>
      <c r="U36" s="129"/>
      <c r="V36" s="129"/>
      <c r="W36" s="129"/>
      <c r="X36" s="129"/>
      <c r="Y36" s="129"/>
      <c r="Z36" s="129"/>
      <c r="AA36" s="129"/>
      <c r="AB36" s="129"/>
      <c r="AC36" s="129"/>
      <c r="AD36" s="129"/>
      <c r="AE36" s="129"/>
      <c r="AF36" s="129"/>
      <c r="AG36" s="129"/>
      <c r="AH36" s="129"/>
      <c r="AI36" s="129"/>
      <c r="AJ36" s="129"/>
      <c r="AK36" s="129"/>
      <c r="AL36" s="129"/>
      <c r="AM36" s="129"/>
      <c r="AN36" s="129"/>
      <c r="AO36" s="129"/>
      <c r="AP36" s="129"/>
      <c r="AQ36" s="129"/>
      <c r="AR36" s="129"/>
      <c r="AS36" s="129"/>
      <c r="AT36" s="129"/>
      <c r="AU36" s="129"/>
      <c r="AV36" s="129"/>
      <c r="AW36" s="129"/>
      <c r="AX36" s="129"/>
      <c r="AY36" s="129"/>
      <c r="AZ36" s="129"/>
      <c r="BA36" s="129"/>
      <c r="BB36" s="129"/>
      <c r="BC36" s="129"/>
      <c r="BD36" s="129"/>
      <c r="BE36" s="129"/>
      <c r="BF36" s="129"/>
      <c r="BG36" s="129"/>
      <c r="BH36" s="129"/>
      <c r="BI36" s="129"/>
      <c r="BJ36" s="129"/>
      <c r="BK36" s="129"/>
      <c r="BL36" s="129"/>
      <c r="BM36" s="129"/>
      <c r="BN36" s="129"/>
      <c r="BO36" s="129"/>
      <c r="BP36" s="129"/>
      <c r="BQ36" s="129"/>
      <c r="BR36" s="129"/>
      <c r="BS36" s="129"/>
      <c r="BT36" s="129"/>
      <c r="BU36" s="129"/>
      <c r="BV36" s="129"/>
      <c r="BW36" s="129"/>
      <c r="BX36" s="129"/>
      <c r="BY36" s="129"/>
      <c r="BZ36" s="129"/>
      <c r="CA36" s="129"/>
      <c r="CB36" s="129"/>
      <c r="CC36" s="129"/>
      <c r="CD36" s="129"/>
      <c r="CE36" s="129"/>
      <c r="CF36" s="129"/>
      <c r="CG36" s="129"/>
      <c r="CH36" s="129"/>
      <c r="CI36" s="129"/>
      <c r="CJ36" s="129"/>
      <c r="CK36" s="129"/>
      <c r="CL36" s="129"/>
      <c r="CM36" s="129"/>
      <c r="CN36" s="129"/>
      <c r="CO36" s="129"/>
      <c r="CP36" s="129"/>
      <c r="CQ36" s="129"/>
      <c r="CR36" s="129"/>
      <c r="CS36" s="129"/>
      <c r="CT36" s="129"/>
    </row>
    <row r="37" spans="1:98" s="120" customFormat="1" ht="21.75" customHeight="1">
      <c r="B37" s="2"/>
      <c r="C37" s="3"/>
      <c r="D37" s="2"/>
      <c r="E37" s="306">
        <f>SUM(E27:E36)</f>
        <v>2411569.1062993365</v>
      </c>
      <c r="F37" s="3"/>
      <c r="G37" s="2"/>
      <c r="H37" s="129"/>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29"/>
      <c r="BL37" s="129"/>
      <c r="BM37" s="129"/>
      <c r="BN37" s="129"/>
      <c r="BO37" s="129"/>
      <c r="BP37" s="129"/>
      <c r="BQ37" s="129"/>
      <c r="BR37" s="129"/>
      <c r="BS37" s="129"/>
      <c r="BT37" s="129"/>
      <c r="BU37" s="129"/>
      <c r="BV37" s="129"/>
      <c r="BW37" s="129"/>
      <c r="BX37" s="129"/>
      <c r="BY37" s="129"/>
      <c r="BZ37" s="129"/>
      <c r="CA37" s="129"/>
      <c r="CB37" s="129"/>
      <c r="CC37" s="129"/>
      <c r="CD37" s="129"/>
      <c r="CE37" s="129"/>
      <c r="CF37" s="129"/>
      <c r="CG37" s="129"/>
      <c r="CH37" s="129"/>
      <c r="CI37" s="129"/>
      <c r="CJ37" s="129"/>
      <c r="CK37" s="129"/>
      <c r="CL37" s="129"/>
      <c r="CM37" s="129"/>
      <c r="CN37" s="129"/>
      <c r="CO37" s="129"/>
      <c r="CP37" s="129"/>
      <c r="CQ37" s="129"/>
      <c r="CR37" s="129"/>
      <c r="CS37" s="129"/>
      <c r="CT37" s="129"/>
    </row>
    <row r="38" spans="1:98" s="120" customFormat="1">
      <c r="B38" s="2"/>
      <c r="C38" s="3"/>
      <c r="D38" s="2"/>
      <c r="E38" s="2"/>
      <c r="F38" s="3"/>
      <c r="G38" s="2"/>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c r="AK38" s="129"/>
      <c r="AL38" s="129"/>
      <c r="AM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29"/>
      <c r="BL38" s="129"/>
      <c r="BM38" s="129"/>
      <c r="BN38" s="129"/>
      <c r="BO38" s="129"/>
      <c r="BP38" s="129"/>
      <c r="BQ38" s="129"/>
      <c r="BR38" s="129"/>
      <c r="BS38" s="129"/>
      <c r="BT38" s="129"/>
      <c r="BU38" s="129"/>
      <c r="BV38" s="129"/>
      <c r="BW38" s="129"/>
      <c r="BX38" s="129"/>
      <c r="BY38" s="129"/>
      <c r="BZ38" s="129"/>
      <c r="CA38" s="129"/>
      <c r="CB38" s="129"/>
      <c r="CC38" s="129"/>
      <c r="CD38" s="129"/>
      <c r="CE38" s="129"/>
      <c r="CF38" s="129"/>
      <c r="CG38" s="129"/>
      <c r="CH38" s="129"/>
      <c r="CI38" s="129"/>
      <c r="CJ38" s="129"/>
      <c r="CK38" s="129"/>
      <c r="CL38" s="129"/>
      <c r="CM38" s="129"/>
      <c r="CN38" s="129"/>
      <c r="CO38" s="129"/>
      <c r="CP38" s="129"/>
      <c r="CQ38" s="129"/>
      <c r="CR38" s="129"/>
      <c r="CS38" s="129"/>
      <c r="CT38" s="129"/>
    </row>
    <row r="39" spans="1:98" s="120" customFormat="1">
      <c r="A39" s="298" t="str">
        <f>'Produtos Grupo C'!A3</f>
        <v>Grupo de produtos C - AJUSTES DE DOCUMENTOS DURANTE E APÓS ANÁLISE PELO TRIBUNAL DE CONTAS DA UNIÃO DOS PROJETOS DE CONCESSÃO E PRORROGAÇÕES ANTECIPADAS</v>
      </c>
      <c r="B39" s="299"/>
      <c r="C39" s="299"/>
      <c r="D39" s="299"/>
      <c r="E39" s="299"/>
      <c r="F39" s="3"/>
      <c r="G39" s="2"/>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c r="AK39" s="129"/>
      <c r="AL39" s="129"/>
      <c r="AM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29"/>
      <c r="BL39" s="129"/>
      <c r="BM39" s="129"/>
      <c r="BN39" s="129"/>
      <c r="BO39" s="129"/>
      <c r="BP39" s="129"/>
      <c r="BQ39" s="129"/>
      <c r="BR39" s="129"/>
      <c r="BS39" s="129"/>
      <c r="BT39" s="129"/>
      <c r="BU39" s="129"/>
      <c r="BV39" s="129"/>
      <c r="BW39" s="129"/>
      <c r="BX39" s="129"/>
      <c r="BY39" s="129"/>
      <c r="BZ39" s="129"/>
      <c r="CA39" s="129"/>
      <c r="CB39" s="129"/>
      <c r="CC39" s="129"/>
      <c r="CD39" s="129"/>
      <c r="CE39" s="129"/>
      <c r="CF39" s="129"/>
      <c r="CG39" s="129"/>
      <c r="CH39" s="129"/>
      <c r="CI39" s="129"/>
      <c r="CJ39" s="129"/>
      <c r="CK39" s="129"/>
      <c r="CL39" s="129"/>
      <c r="CM39" s="129"/>
      <c r="CN39" s="129"/>
      <c r="CO39" s="129"/>
      <c r="CP39" s="129"/>
      <c r="CQ39" s="129"/>
      <c r="CR39" s="129"/>
      <c r="CS39" s="129"/>
      <c r="CT39" s="129"/>
    </row>
    <row r="40" spans="1:98" s="120" customFormat="1">
      <c r="A40" s="301" t="s">
        <v>123</v>
      </c>
      <c r="B40" s="301" t="s">
        <v>317</v>
      </c>
      <c r="C40" s="301" t="s">
        <v>7</v>
      </c>
      <c r="D40" s="302" t="s">
        <v>318</v>
      </c>
      <c r="E40" s="302" t="s">
        <v>319</v>
      </c>
      <c r="F40" s="3"/>
      <c r="G40" s="2"/>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c r="AL40" s="129"/>
      <c r="AM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29"/>
      <c r="BL40" s="129"/>
      <c r="BM40" s="129"/>
      <c r="BN40" s="129"/>
      <c r="BO40" s="129"/>
      <c r="BP40" s="129"/>
      <c r="BQ40" s="129"/>
      <c r="BR40" s="129"/>
      <c r="BS40" s="129"/>
      <c r="BT40" s="129"/>
      <c r="BU40" s="129"/>
      <c r="BV40" s="129"/>
      <c r="BW40" s="129"/>
      <c r="BX40" s="129"/>
      <c r="BY40" s="129"/>
      <c r="BZ40" s="129"/>
      <c r="CA40" s="129"/>
      <c r="CB40" s="129"/>
      <c r="CC40" s="129"/>
      <c r="CD40" s="129"/>
      <c r="CE40" s="129"/>
      <c r="CF40" s="129"/>
      <c r="CG40" s="129"/>
      <c r="CH40" s="129"/>
      <c r="CI40" s="129"/>
      <c r="CJ40" s="129"/>
      <c r="CK40" s="129"/>
      <c r="CL40" s="129"/>
      <c r="CM40" s="129"/>
      <c r="CN40" s="129"/>
      <c r="CO40" s="129"/>
      <c r="CP40" s="129"/>
      <c r="CQ40" s="129"/>
      <c r="CR40" s="129"/>
      <c r="CS40" s="129"/>
      <c r="CT40" s="129"/>
    </row>
    <row r="41" spans="1:98" s="120" customFormat="1" ht="23.4">
      <c r="A41" s="303">
        <v>15</v>
      </c>
      <c r="B41" s="300" t="s">
        <v>289</v>
      </c>
      <c r="C41" s="303">
        <v>1</v>
      </c>
      <c r="D41" s="305">
        <f>VLOOKUP(F41,'Produtos Grupo C'!A:F,6,0)*12</f>
        <v>280939.81986951147</v>
      </c>
      <c r="E41" s="305">
        <f>D41*C41</f>
        <v>280939.81986951147</v>
      </c>
      <c r="F41" s="304" t="str">
        <f t="shared" ref="F41:F45" si="4">"valor mês produto "&amp;A41</f>
        <v>valor mês produto 15</v>
      </c>
      <c r="G41" s="2"/>
      <c r="H41" s="129"/>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c r="AK41" s="129"/>
      <c r="AL41" s="129"/>
      <c r="AM41" s="129"/>
      <c r="AN41" s="129"/>
      <c r="AO41" s="129"/>
      <c r="AP41" s="129"/>
      <c r="AQ41" s="129"/>
      <c r="AR41" s="129"/>
      <c r="AS41" s="129"/>
      <c r="AT41" s="129"/>
      <c r="AU41" s="129"/>
      <c r="AV41" s="129"/>
      <c r="AW41" s="129"/>
      <c r="AX41" s="129"/>
      <c r="AY41" s="129"/>
      <c r="AZ41" s="129"/>
      <c r="BA41" s="129"/>
      <c r="BB41" s="129"/>
      <c r="BC41" s="129"/>
      <c r="BD41" s="129"/>
      <c r="BE41" s="129"/>
      <c r="BF41" s="129"/>
      <c r="BG41" s="129"/>
      <c r="BH41" s="129"/>
      <c r="BI41" s="129"/>
      <c r="BJ41" s="129"/>
      <c r="BK41" s="129"/>
      <c r="BL41" s="129"/>
      <c r="BM41" s="129"/>
      <c r="BN41" s="129"/>
      <c r="BO41" s="129"/>
      <c r="BP41" s="129"/>
      <c r="BQ41" s="129"/>
      <c r="BR41" s="129"/>
      <c r="BS41" s="129"/>
      <c r="BT41" s="129"/>
      <c r="BU41" s="129"/>
      <c r="BV41" s="129"/>
      <c r="BW41" s="129"/>
      <c r="BX41" s="129"/>
      <c r="BY41" s="129"/>
      <c r="BZ41" s="129"/>
      <c r="CA41" s="129"/>
      <c r="CB41" s="129"/>
      <c r="CC41" s="129"/>
      <c r="CD41" s="129"/>
      <c r="CE41" s="129"/>
      <c r="CF41" s="129"/>
      <c r="CG41" s="129"/>
      <c r="CH41" s="129"/>
      <c r="CI41" s="129"/>
      <c r="CJ41" s="129"/>
      <c r="CK41" s="129"/>
      <c r="CL41" s="129"/>
      <c r="CM41" s="129"/>
      <c r="CN41" s="129"/>
      <c r="CO41" s="129"/>
      <c r="CP41" s="129"/>
      <c r="CQ41" s="129"/>
      <c r="CR41" s="129"/>
      <c r="CS41" s="129"/>
      <c r="CT41" s="129"/>
    </row>
    <row r="42" spans="1:98" s="120" customFormat="1" ht="23.4">
      <c r="A42" s="303">
        <v>16</v>
      </c>
      <c r="B42" s="300" t="s">
        <v>290</v>
      </c>
      <c r="C42" s="303">
        <v>1</v>
      </c>
      <c r="D42" s="305">
        <f>VLOOKUP(F42,'Produtos Grupo C'!A:F,6,0)*12</f>
        <v>280939.81986951147</v>
      </c>
      <c r="E42" s="305">
        <f t="shared" ref="E42:E45" si="5">D42*C42</f>
        <v>280939.81986951147</v>
      </c>
      <c r="F42" s="304" t="str">
        <f t="shared" si="4"/>
        <v>valor mês produto 16</v>
      </c>
      <c r="G42" s="2"/>
      <c r="H42" s="129"/>
      <c r="I42" s="129"/>
      <c r="J42" s="129"/>
      <c r="K42" s="129"/>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29"/>
      <c r="BL42" s="129"/>
      <c r="BM42" s="129"/>
      <c r="BN42" s="129"/>
      <c r="BO42" s="129"/>
      <c r="BP42" s="129"/>
      <c r="BQ42" s="129"/>
      <c r="BR42" s="129"/>
      <c r="BS42" s="129"/>
      <c r="BT42" s="129"/>
      <c r="BU42" s="129"/>
      <c r="BV42" s="129"/>
      <c r="BW42" s="129"/>
      <c r="BX42" s="129"/>
      <c r="BY42" s="129"/>
      <c r="BZ42" s="129"/>
      <c r="CA42" s="129"/>
      <c r="CB42" s="129"/>
      <c r="CC42" s="129"/>
      <c r="CD42" s="129"/>
      <c r="CE42" s="129"/>
      <c r="CF42" s="129"/>
      <c r="CG42" s="129"/>
      <c r="CH42" s="129"/>
      <c r="CI42" s="129"/>
      <c r="CJ42" s="129"/>
      <c r="CK42" s="129"/>
      <c r="CL42" s="129"/>
      <c r="CM42" s="129"/>
      <c r="CN42" s="129"/>
      <c r="CO42" s="129"/>
      <c r="CP42" s="129"/>
      <c r="CQ42" s="129"/>
      <c r="CR42" s="129"/>
      <c r="CS42" s="129"/>
      <c r="CT42" s="129"/>
    </row>
    <row r="43" spans="1:98" s="120" customFormat="1" ht="23.4">
      <c r="A43" s="303">
        <v>17</v>
      </c>
      <c r="B43" s="300" t="s">
        <v>280</v>
      </c>
      <c r="C43" s="303">
        <v>1</v>
      </c>
      <c r="D43" s="305">
        <f>VLOOKUP(F43,'Produtos Grupo C'!A:F,6,0)*12</f>
        <v>280939.81986951147</v>
      </c>
      <c r="E43" s="305">
        <f t="shared" si="5"/>
        <v>280939.81986951147</v>
      </c>
      <c r="F43" s="304" t="str">
        <f t="shared" si="4"/>
        <v>valor mês produto 17</v>
      </c>
      <c r="G43" s="2"/>
      <c r="H43" s="129"/>
      <c r="I43" s="129"/>
      <c r="J43" s="129"/>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c r="AL43" s="129"/>
      <c r="AM43" s="129"/>
      <c r="AN43" s="129"/>
      <c r="AO43" s="129"/>
      <c r="AP43" s="129"/>
      <c r="AQ43" s="129"/>
      <c r="AR43" s="129"/>
      <c r="AS43" s="129"/>
      <c r="AT43" s="129"/>
      <c r="AU43" s="129"/>
      <c r="AV43" s="129"/>
      <c r="AW43" s="129"/>
      <c r="AX43" s="129"/>
      <c r="AY43" s="129"/>
      <c r="AZ43" s="129"/>
      <c r="BA43" s="129"/>
      <c r="BB43" s="129"/>
      <c r="BC43" s="129"/>
      <c r="BD43" s="129"/>
      <c r="BE43" s="129"/>
      <c r="BF43" s="129"/>
      <c r="BG43" s="129"/>
      <c r="BH43" s="129"/>
      <c r="BI43" s="129"/>
      <c r="BJ43" s="129"/>
      <c r="BK43" s="129"/>
      <c r="BL43" s="129"/>
      <c r="BM43" s="129"/>
      <c r="BN43" s="129"/>
      <c r="BO43" s="129"/>
      <c r="BP43" s="129"/>
      <c r="BQ43" s="129"/>
      <c r="BR43" s="129"/>
      <c r="BS43" s="129"/>
      <c r="BT43" s="129"/>
      <c r="BU43" s="129"/>
      <c r="BV43" s="129"/>
      <c r="BW43" s="129"/>
      <c r="BX43" s="129"/>
      <c r="BY43" s="129"/>
      <c r="BZ43" s="129"/>
      <c r="CA43" s="129"/>
      <c r="CB43" s="129"/>
      <c r="CC43" s="129"/>
      <c r="CD43" s="129"/>
      <c r="CE43" s="129"/>
      <c r="CF43" s="129"/>
      <c r="CG43" s="129"/>
      <c r="CH43" s="129"/>
      <c r="CI43" s="129"/>
      <c r="CJ43" s="129"/>
      <c r="CK43" s="129"/>
      <c r="CL43" s="129"/>
      <c r="CM43" s="129"/>
      <c r="CN43" s="129"/>
      <c r="CO43" s="129"/>
      <c r="CP43" s="129"/>
      <c r="CQ43" s="129"/>
      <c r="CR43" s="129"/>
      <c r="CS43" s="129"/>
      <c r="CT43" s="129"/>
    </row>
    <row r="44" spans="1:98" s="120" customFormat="1" ht="23.4">
      <c r="A44" s="303">
        <v>18</v>
      </c>
      <c r="B44" s="300" t="s">
        <v>291</v>
      </c>
      <c r="C44" s="303">
        <v>1</v>
      </c>
      <c r="D44" s="305">
        <f>VLOOKUP(F44,'Produtos Grupo C'!A:F,6,0)*12</f>
        <v>280939.81986951147</v>
      </c>
      <c r="E44" s="305">
        <f t="shared" si="5"/>
        <v>280939.81986951147</v>
      </c>
      <c r="F44" s="304" t="str">
        <f t="shared" si="4"/>
        <v>valor mês produto 18</v>
      </c>
      <c r="G44" s="2"/>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c r="AK44" s="129"/>
      <c r="AL44" s="129"/>
      <c r="AM44" s="129"/>
      <c r="AN44" s="129"/>
      <c r="AO44" s="129"/>
      <c r="AP44" s="129"/>
      <c r="AQ44" s="129"/>
      <c r="AR44" s="129"/>
      <c r="AS44" s="129"/>
      <c r="AT44" s="129"/>
      <c r="AU44" s="129"/>
      <c r="AV44" s="129"/>
      <c r="AW44" s="129"/>
      <c r="AX44" s="129"/>
      <c r="AY44" s="129"/>
      <c r="AZ44" s="129"/>
      <c r="BA44" s="129"/>
      <c r="BB44" s="129"/>
      <c r="BC44" s="129"/>
      <c r="BD44" s="129"/>
      <c r="BE44" s="129"/>
      <c r="BF44" s="129"/>
      <c r="BG44" s="129"/>
      <c r="BH44" s="129"/>
      <c r="BI44" s="129"/>
      <c r="BJ44" s="129"/>
      <c r="BK44" s="129"/>
      <c r="BL44" s="129"/>
      <c r="BM44" s="129"/>
      <c r="BN44" s="129"/>
      <c r="BO44" s="129"/>
      <c r="BP44" s="129"/>
      <c r="BQ44" s="129"/>
      <c r="BR44" s="129"/>
      <c r="BS44" s="129"/>
      <c r="BT44" s="129"/>
      <c r="BU44" s="129"/>
      <c r="BV44" s="129"/>
      <c r="BW44" s="129"/>
      <c r="BX44" s="129"/>
      <c r="BY44" s="129"/>
      <c r="BZ44" s="129"/>
      <c r="CA44" s="129"/>
      <c r="CB44" s="129"/>
      <c r="CC44" s="129"/>
      <c r="CD44" s="129"/>
      <c r="CE44" s="129"/>
      <c r="CF44" s="129"/>
      <c r="CG44" s="129"/>
      <c r="CH44" s="129"/>
      <c r="CI44" s="129"/>
      <c r="CJ44" s="129"/>
      <c r="CK44" s="129"/>
      <c r="CL44" s="129"/>
      <c r="CM44" s="129"/>
      <c r="CN44" s="129"/>
      <c r="CO44" s="129"/>
      <c r="CP44" s="129"/>
      <c r="CQ44" s="129"/>
      <c r="CR44" s="129"/>
      <c r="CS44" s="129"/>
      <c r="CT44" s="129"/>
    </row>
    <row r="45" spans="1:98" s="120" customFormat="1" ht="23.4">
      <c r="A45" s="303">
        <v>19</v>
      </c>
      <c r="B45" s="300" t="s">
        <v>292</v>
      </c>
      <c r="C45" s="303">
        <v>1</v>
      </c>
      <c r="D45" s="305">
        <f>VLOOKUP(F45,'Produtos Grupo C'!A:F,6,0)*12</f>
        <v>280939.81986951147</v>
      </c>
      <c r="E45" s="305">
        <f t="shared" si="5"/>
        <v>280939.81986951147</v>
      </c>
      <c r="F45" s="304" t="str">
        <f t="shared" si="4"/>
        <v>valor mês produto 19</v>
      </c>
      <c r="G45" s="2"/>
      <c r="H45" s="129"/>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29"/>
      <c r="AU45" s="129"/>
      <c r="AV45" s="129"/>
      <c r="AW45" s="129"/>
      <c r="AX45" s="129"/>
      <c r="AY45" s="129"/>
      <c r="AZ45" s="129"/>
      <c r="BA45" s="129"/>
      <c r="BB45" s="129"/>
      <c r="BC45" s="129"/>
      <c r="BD45" s="129"/>
      <c r="BE45" s="129"/>
      <c r="BF45" s="129"/>
      <c r="BG45" s="129"/>
      <c r="BH45" s="129"/>
      <c r="BI45" s="129"/>
      <c r="BJ45" s="129"/>
      <c r="BK45" s="129"/>
      <c r="BL45" s="129"/>
      <c r="BM45" s="129"/>
      <c r="BN45" s="129"/>
      <c r="BO45" s="129"/>
      <c r="BP45" s="129"/>
      <c r="BQ45" s="129"/>
      <c r="BR45" s="129"/>
      <c r="BS45" s="129"/>
      <c r="BT45" s="129"/>
      <c r="BU45" s="129"/>
      <c r="BV45" s="129"/>
      <c r="BW45" s="129"/>
      <c r="BX45" s="129"/>
      <c r="BY45" s="129"/>
      <c r="BZ45" s="129"/>
      <c r="CA45" s="129"/>
      <c r="CB45" s="129"/>
      <c r="CC45" s="129"/>
      <c r="CD45" s="129"/>
      <c r="CE45" s="129"/>
      <c r="CF45" s="129"/>
      <c r="CG45" s="129"/>
      <c r="CH45" s="129"/>
      <c r="CI45" s="129"/>
      <c r="CJ45" s="129"/>
      <c r="CK45" s="129"/>
      <c r="CL45" s="129"/>
      <c r="CM45" s="129"/>
      <c r="CN45" s="129"/>
      <c r="CO45" s="129"/>
      <c r="CP45" s="129"/>
      <c r="CQ45" s="129"/>
      <c r="CR45" s="129"/>
      <c r="CS45" s="129"/>
      <c r="CT45" s="129"/>
    </row>
    <row r="46" spans="1:98" s="120" customFormat="1">
      <c r="B46" s="2"/>
      <c r="C46" s="3"/>
      <c r="D46" s="2"/>
      <c r="E46" s="306">
        <f>SUM(E41:E45)</f>
        <v>1404699.0993475574</v>
      </c>
      <c r="F46" s="3"/>
      <c r="G46" s="2"/>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129"/>
      <c r="AK46" s="129"/>
      <c r="AL46" s="129"/>
      <c r="AM46" s="129"/>
      <c r="AN46" s="129"/>
      <c r="AO46" s="129"/>
      <c r="AP46" s="129"/>
      <c r="AQ46" s="129"/>
      <c r="AR46" s="129"/>
      <c r="AS46" s="129"/>
      <c r="AT46" s="129"/>
      <c r="AU46" s="129"/>
      <c r="AV46" s="129"/>
      <c r="AW46" s="129"/>
      <c r="AX46" s="129"/>
      <c r="AY46" s="129"/>
      <c r="AZ46" s="129"/>
      <c r="BA46" s="129"/>
      <c r="BB46" s="129"/>
      <c r="BC46" s="129"/>
      <c r="BD46" s="129"/>
      <c r="BE46" s="129"/>
      <c r="BF46" s="129"/>
      <c r="BG46" s="129"/>
      <c r="BH46" s="129"/>
      <c r="BI46" s="129"/>
      <c r="BJ46" s="129"/>
      <c r="BK46" s="129"/>
      <c r="BL46" s="129"/>
      <c r="BM46" s="129"/>
      <c r="BN46" s="129"/>
      <c r="BO46" s="129"/>
      <c r="BP46" s="129"/>
      <c r="BQ46" s="129"/>
      <c r="BR46" s="129"/>
      <c r="BS46" s="129"/>
      <c r="BT46" s="129"/>
      <c r="BU46" s="129"/>
      <c r="BV46" s="129"/>
      <c r="BW46" s="129"/>
      <c r="BX46" s="129"/>
      <c r="BY46" s="129"/>
      <c r="BZ46" s="129"/>
      <c r="CA46" s="129"/>
      <c r="CB46" s="129"/>
      <c r="CC46" s="129"/>
      <c r="CD46" s="129"/>
      <c r="CE46" s="129"/>
      <c r="CF46" s="129"/>
      <c r="CG46" s="129"/>
      <c r="CH46" s="129"/>
      <c r="CI46" s="129"/>
      <c r="CJ46" s="129"/>
      <c r="CK46" s="129"/>
      <c r="CL46" s="129"/>
      <c r="CM46" s="129"/>
      <c r="CN46" s="129"/>
      <c r="CO46" s="129"/>
      <c r="CP46" s="129"/>
      <c r="CQ46" s="129"/>
      <c r="CR46" s="129"/>
      <c r="CS46" s="129"/>
      <c r="CT46" s="129"/>
    </row>
    <row r="47" spans="1:98" s="120" customFormat="1">
      <c r="B47" s="2"/>
      <c r="C47" s="3"/>
      <c r="D47" s="2"/>
      <c r="E47" s="2"/>
      <c r="F47" s="3"/>
      <c r="G47" s="2"/>
      <c r="H47" s="129"/>
      <c r="I47" s="129"/>
      <c r="J47" s="129"/>
      <c r="K47" s="129"/>
      <c r="L47" s="129"/>
      <c r="M47" s="129"/>
      <c r="N47" s="129"/>
      <c r="O47" s="129"/>
      <c r="P47" s="129"/>
      <c r="Q47" s="129"/>
      <c r="R47" s="129"/>
      <c r="S47" s="129"/>
      <c r="T47" s="129"/>
      <c r="U47" s="129"/>
      <c r="V47" s="129"/>
      <c r="W47" s="129"/>
      <c r="X47" s="129"/>
      <c r="Y47" s="129"/>
      <c r="Z47" s="129"/>
      <c r="AA47" s="129"/>
      <c r="AB47" s="129"/>
      <c r="AC47" s="129"/>
      <c r="AD47" s="129"/>
      <c r="AE47" s="129"/>
      <c r="AF47" s="129"/>
      <c r="AG47" s="129"/>
      <c r="AH47" s="129"/>
      <c r="AI47" s="129"/>
      <c r="AJ47" s="129"/>
      <c r="AK47" s="129"/>
      <c r="AL47" s="129"/>
      <c r="AM47" s="129"/>
      <c r="AN47" s="129"/>
      <c r="AO47" s="129"/>
      <c r="AP47" s="129"/>
      <c r="AQ47" s="129"/>
      <c r="AR47" s="129"/>
      <c r="AS47" s="129"/>
      <c r="AT47" s="129"/>
      <c r="AU47" s="129"/>
      <c r="AV47" s="129"/>
      <c r="AW47" s="129"/>
      <c r="AX47" s="129"/>
      <c r="AY47" s="129"/>
      <c r="AZ47" s="129"/>
      <c r="BA47" s="129"/>
      <c r="BB47" s="129"/>
      <c r="BC47" s="129"/>
      <c r="BD47" s="129"/>
      <c r="BE47" s="129"/>
      <c r="BF47" s="129"/>
      <c r="BG47" s="129"/>
      <c r="BH47" s="129"/>
      <c r="BI47" s="129"/>
      <c r="BJ47" s="129"/>
      <c r="BK47" s="129"/>
      <c r="BL47" s="129"/>
      <c r="BM47" s="129"/>
      <c r="BN47" s="129"/>
      <c r="BO47" s="129"/>
      <c r="BP47" s="129"/>
      <c r="BQ47" s="129"/>
      <c r="BR47" s="129"/>
      <c r="BS47" s="129"/>
      <c r="BT47" s="129"/>
      <c r="BU47" s="129"/>
      <c r="BV47" s="129"/>
      <c r="BW47" s="129"/>
      <c r="BX47" s="129"/>
      <c r="BY47" s="129"/>
      <c r="BZ47" s="129"/>
      <c r="CA47" s="129"/>
      <c r="CB47" s="129"/>
      <c r="CC47" s="129"/>
      <c r="CD47" s="129"/>
      <c r="CE47" s="129"/>
      <c r="CF47" s="129"/>
      <c r="CG47" s="129"/>
      <c r="CH47" s="129"/>
      <c r="CI47" s="129"/>
      <c r="CJ47" s="129"/>
      <c r="CK47" s="129"/>
      <c r="CL47" s="129"/>
      <c r="CM47" s="129"/>
      <c r="CN47" s="129"/>
      <c r="CO47" s="129"/>
      <c r="CP47" s="129"/>
      <c r="CQ47" s="129"/>
      <c r="CR47" s="129"/>
      <c r="CS47" s="129"/>
      <c r="CT47" s="129"/>
    </row>
    <row r="48" spans="1:98" s="120" customFormat="1">
      <c r="B48" s="2"/>
      <c r="C48" s="3"/>
      <c r="D48" s="2"/>
      <c r="E48" s="2"/>
      <c r="F48" s="3"/>
      <c r="G48" s="2"/>
      <c r="H48" s="129"/>
      <c r="I48" s="129"/>
      <c r="J48" s="129"/>
      <c r="K48" s="129"/>
      <c r="L48" s="129"/>
      <c r="M48" s="129"/>
      <c r="N48" s="129"/>
      <c r="O48" s="129"/>
      <c r="P48" s="129"/>
      <c r="Q48" s="129"/>
      <c r="R48" s="129"/>
      <c r="S48" s="129"/>
      <c r="T48" s="129"/>
      <c r="U48" s="129"/>
      <c r="V48" s="129"/>
      <c r="W48" s="129"/>
      <c r="X48" s="129"/>
      <c r="Y48" s="129"/>
      <c r="Z48" s="129"/>
      <c r="AA48" s="129"/>
      <c r="AB48" s="129"/>
      <c r="AC48" s="129"/>
      <c r="AD48" s="129"/>
      <c r="AE48" s="129"/>
      <c r="AF48" s="129"/>
      <c r="AG48" s="129"/>
      <c r="AH48" s="129"/>
      <c r="AI48" s="129"/>
      <c r="AJ48" s="129"/>
      <c r="AK48" s="129"/>
      <c r="AL48" s="129"/>
      <c r="AM48" s="129"/>
      <c r="AN48" s="129"/>
      <c r="AO48" s="129"/>
      <c r="AP48" s="129"/>
      <c r="AQ48" s="129"/>
      <c r="AR48" s="129"/>
      <c r="AS48" s="129"/>
      <c r="AT48" s="129"/>
      <c r="AU48" s="129"/>
      <c r="AV48" s="129"/>
      <c r="AW48" s="129"/>
      <c r="AX48" s="129"/>
      <c r="AY48" s="129"/>
      <c r="AZ48" s="129"/>
      <c r="BA48" s="129"/>
      <c r="BB48" s="129"/>
      <c r="BC48" s="129"/>
      <c r="BD48" s="129"/>
      <c r="BE48" s="129"/>
      <c r="BF48" s="129"/>
      <c r="BG48" s="129"/>
      <c r="BH48" s="129"/>
      <c r="BI48" s="129"/>
      <c r="BJ48" s="129"/>
      <c r="BK48" s="129"/>
      <c r="BL48" s="129"/>
      <c r="BM48" s="129"/>
      <c r="BN48" s="129"/>
      <c r="BO48" s="129"/>
      <c r="BP48" s="129"/>
      <c r="BQ48" s="129"/>
      <c r="BR48" s="129"/>
      <c r="BS48" s="129"/>
      <c r="BT48" s="129"/>
      <c r="BU48" s="129"/>
      <c r="BV48" s="129"/>
      <c r="BW48" s="129"/>
      <c r="BX48" s="129"/>
      <c r="BY48" s="129"/>
      <c r="BZ48" s="129"/>
      <c r="CA48" s="129"/>
      <c r="CB48" s="129"/>
      <c r="CC48" s="129"/>
      <c r="CD48" s="129"/>
      <c r="CE48" s="129"/>
      <c r="CF48" s="129"/>
      <c r="CG48" s="129"/>
      <c r="CH48" s="129"/>
      <c r="CI48" s="129"/>
      <c r="CJ48" s="129"/>
      <c r="CK48" s="129"/>
      <c r="CL48" s="129"/>
      <c r="CM48" s="129"/>
      <c r="CN48" s="129"/>
      <c r="CO48" s="129"/>
      <c r="CP48" s="129"/>
      <c r="CQ48" s="129"/>
      <c r="CR48" s="129"/>
      <c r="CS48" s="129"/>
      <c r="CT48" s="129"/>
    </row>
    <row r="49" spans="1:98" s="120" customFormat="1">
      <c r="A49" s="298" t="str">
        <f>'Produtos Grupo D'!A3</f>
        <v>Grupo de produtos D - ELABORAÇÃO DE CRONOGRAMA PARA GESTÃO DE PROJETOS DE CONCESSÃO E PRORROGAÇÕES ANTECIPADAS</v>
      </c>
      <c r="B49" s="299"/>
      <c r="C49" s="299"/>
      <c r="D49" s="299"/>
      <c r="E49" s="299"/>
      <c r="F49" s="3"/>
      <c r="G49" s="2"/>
      <c r="H49" s="129"/>
      <c r="I49" s="129"/>
      <c r="J49" s="129"/>
      <c r="K49" s="129"/>
      <c r="L49" s="129"/>
      <c r="M49" s="129"/>
      <c r="N49" s="129"/>
      <c r="O49" s="129"/>
      <c r="P49" s="129"/>
      <c r="Q49" s="129"/>
      <c r="R49" s="129"/>
      <c r="S49" s="129"/>
      <c r="T49" s="129"/>
      <c r="U49" s="129"/>
      <c r="V49" s="129"/>
      <c r="W49" s="129"/>
      <c r="X49" s="129"/>
      <c r="Y49" s="129"/>
      <c r="Z49" s="129"/>
      <c r="AA49" s="129"/>
      <c r="AB49" s="129"/>
      <c r="AC49" s="129"/>
      <c r="AD49" s="129"/>
      <c r="AE49" s="129"/>
      <c r="AF49" s="129"/>
      <c r="AG49" s="129"/>
      <c r="AH49" s="129"/>
      <c r="AI49" s="129"/>
      <c r="AJ49" s="129"/>
      <c r="AK49" s="129"/>
      <c r="AL49" s="129"/>
      <c r="AM49" s="129"/>
      <c r="AN49" s="129"/>
      <c r="AO49" s="129"/>
      <c r="AP49" s="129"/>
      <c r="AQ49" s="129"/>
      <c r="AR49" s="129"/>
      <c r="AS49" s="129"/>
      <c r="AT49" s="129"/>
      <c r="AU49" s="129"/>
      <c r="AV49" s="129"/>
      <c r="AW49" s="129"/>
      <c r="AX49" s="129"/>
      <c r="AY49" s="129"/>
      <c r="AZ49" s="129"/>
      <c r="BA49" s="129"/>
      <c r="BB49" s="129"/>
      <c r="BC49" s="129"/>
      <c r="BD49" s="129"/>
      <c r="BE49" s="129"/>
      <c r="BF49" s="129"/>
      <c r="BG49" s="129"/>
      <c r="BH49" s="129"/>
      <c r="BI49" s="129"/>
      <c r="BJ49" s="129"/>
      <c r="BK49" s="129"/>
      <c r="BL49" s="129"/>
      <c r="BM49" s="129"/>
      <c r="BN49" s="129"/>
      <c r="BO49" s="129"/>
      <c r="BP49" s="129"/>
      <c r="BQ49" s="129"/>
      <c r="BR49" s="129"/>
      <c r="BS49" s="129"/>
      <c r="BT49" s="129"/>
      <c r="BU49" s="129"/>
      <c r="BV49" s="129"/>
      <c r="BW49" s="129"/>
      <c r="BX49" s="129"/>
      <c r="BY49" s="129"/>
      <c r="BZ49" s="129"/>
      <c r="CA49" s="129"/>
      <c r="CB49" s="129"/>
      <c r="CC49" s="129"/>
      <c r="CD49" s="129"/>
      <c r="CE49" s="129"/>
      <c r="CF49" s="129"/>
      <c r="CG49" s="129"/>
      <c r="CH49" s="129"/>
      <c r="CI49" s="129"/>
      <c r="CJ49" s="129"/>
      <c r="CK49" s="129"/>
      <c r="CL49" s="129"/>
      <c r="CM49" s="129"/>
      <c r="CN49" s="129"/>
      <c r="CO49" s="129"/>
      <c r="CP49" s="129"/>
      <c r="CQ49" s="129"/>
      <c r="CR49" s="129"/>
      <c r="CS49" s="129"/>
      <c r="CT49" s="129"/>
    </row>
    <row r="50" spans="1:98" s="120" customFormat="1">
      <c r="A50" s="301" t="s">
        <v>123</v>
      </c>
      <c r="B50" s="301" t="s">
        <v>317</v>
      </c>
      <c r="C50" s="301" t="s">
        <v>7</v>
      </c>
      <c r="D50" s="302" t="s">
        <v>318</v>
      </c>
      <c r="E50" s="302" t="s">
        <v>319</v>
      </c>
      <c r="F50" s="3"/>
      <c r="G50" s="2"/>
      <c r="H50" s="129"/>
      <c r="I50" s="129"/>
      <c r="J50" s="129"/>
      <c r="K50" s="129"/>
      <c r="L50" s="129"/>
      <c r="M50" s="129"/>
      <c r="N50" s="129"/>
      <c r="O50" s="129"/>
      <c r="P50" s="129"/>
      <c r="Q50" s="129"/>
      <c r="R50" s="129"/>
      <c r="S50" s="129"/>
      <c r="T50" s="129"/>
      <c r="U50" s="129"/>
      <c r="V50" s="129"/>
      <c r="W50" s="129"/>
      <c r="X50" s="129"/>
      <c r="Y50" s="129"/>
      <c r="Z50" s="129"/>
      <c r="AA50" s="129"/>
      <c r="AB50" s="129"/>
      <c r="AC50" s="129"/>
      <c r="AD50" s="129"/>
      <c r="AE50" s="129"/>
      <c r="AF50" s="129"/>
      <c r="AG50" s="129"/>
      <c r="AH50" s="129"/>
      <c r="AI50" s="129"/>
      <c r="AJ50" s="129"/>
      <c r="AK50" s="129"/>
      <c r="AL50" s="129"/>
      <c r="AM50" s="129"/>
      <c r="AN50" s="129"/>
      <c r="AO50" s="129"/>
      <c r="AP50" s="129"/>
      <c r="AQ50" s="129"/>
      <c r="AR50" s="129"/>
      <c r="AS50" s="129"/>
      <c r="AT50" s="129"/>
      <c r="AU50" s="129"/>
      <c r="AV50" s="129"/>
      <c r="AW50" s="129"/>
      <c r="AX50" s="129"/>
      <c r="AY50" s="129"/>
      <c r="AZ50" s="129"/>
      <c r="BA50" s="129"/>
      <c r="BB50" s="129"/>
      <c r="BC50" s="129"/>
      <c r="BD50" s="129"/>
      <c r="BE50" s="129"/>
      <c r="BF50" s="129"/>
      <c r="BG50" s="129"/>
      <c r="BH50" s="129"/>
      <c r="BI50" s="129"/>
      <c r="BJ50" s="129"/>
      <c r="BK50" s="129"/>
      <c r="BL50" s="129"/>
      <c r="BM50" s="129"/>
      <c r="BN50" s="129"/>
      <c r="BO50" s="129"/>
      <c r="BP50" s="129"/>
      <c r="BQ50" s="129"/>
      <c r="BR50" s="129"/>
      <c r="BS50" s="129"/>
      <c r="BT50" s="129"/>
      <c r="BU50" s="129"/>
      <c r="BV50" s="129"/>
      <c r="BW50" s="129"/>
      <c r="BX50" s="129"/>
      <c r="BY50" s="129"/>
      <c r="BZ50" s="129"/>
      <c r="CA50" s="129"/>
      <c r="CB50" s="129"/>
      <c r="CC50" s="129"/>
      <c r="CD50" s="129"/>
      <c r="CE50" s="129"/>
      <c r="CF50" s="129"/>
      <c r="CG50" s="129"/>
      <c r="CH50" s="129"/>
      <c r="CI50" s="129"/>
      <c r="CJ50" s="129"/>
      <c r="CK50" s="129"/>
      <c r="CL50" s="129"/>
      <c r="CM50" s="129"/>
      <c r="CN50" s="129"/>
      <c r="CO50" s="129"/>
      <c r="CP50" s="129"/>
      <c r="CQ50" s="129"/>
      <c r="CR50" s="129"/>
      <c r="CS50" s="129"/>
      <c r="CT50" s="129"/>
    </row>
    <row r="51" spans="1:98" s="120" customFormat="1" ht="22.8">
      <c r="A51" s="303">
        <v>20</v>
      </c>
      <c r="B51" s="307" t="s">
        <v>293</v>
      </c>
      <c r="C51" s="312" t="s">
        <v>327</v>
      </c>
      <c r="D51" s="305">
        <f>VLOOKUP(F51,'Produtos Grupo D'!A:F,6,0)*12</f>
        <v>6935.9812571260381</v>
      </c>
      <c r="E51" s="305">
        <f>D51</f>
        <v>6935.9812571260381</v>
      </c>
      <c r="F51" s="304" t="str">
        <f t="shared" ref="F51:F65" si="6">"valor mês produto "&amp;A51</f>
        <v>valor mês produto 20</v>
      </c>
      <c r="G51" s="2"/>
      <c r="H51" s="129"/>
      <c r="I51" s="129"/>
      <c r="J51" s="129"/>
      <c r="K51" s="129"/>
      <c r="L51" s="129"/>
      <c r="M51" s="129"/>
      <c r="N51" s="129"/>
      <c r="O51" s="129"/>
      <c r="P51" s="129"/>
      <c r="Q51" s="129"/>
      <c r="R51" s="129"/>
      <c r="S51" s="129"/>
      <c r="T51" s="129"/>
      <c r="U51" s="129"/>
      <c r="V51" s="129"/>
      <c r="W51" s="129"/>
      <c r="X51" s="129"/>
      <c r="Y51" s="129"/>
      <c r="Z51" s="129"/>
      <c r="AA51" s="129"/>
      <c r="AB51" s="129"/>
      <c r="AC51" s="129"/>
      <c r="AD51" s="129"/>
      <c r="AE51" s="129"/>
      <c r="AF51" s="129"/>
      <c r="AG51" s="129"/>
      <c r="AH51" s="129"/>
      <c r="AI51" s="129"/>
      <c r="AJ51" s="129"/>
      <c r="AK51" s="129"/>
      <c r="AL51" s="129"/>
      <c r="AM51" s="129"/>
      <c r="AN51" s="129"/>
      <c r="AO51" s="129"/>
      <c r="AP51" s="129"/>
      <c r="AQ51" s="129"/>
      <c r="AR51" s="129"/>
      <c r="AS51" s="129"/>
      <c r="AT51" s="129"/>
      <c r="AU51" s="129"/>
      <c r="AV51" s="129"/>
      <c r="AW51" s="129"/>
      <c r="AX51" s="129"/>
      <c r="AY51" s="129"/>
      <c r="AZ51" s="129"/>
      <c r="BA51" s="129"/>
      <c r="BB51" s="129"/>
      <c r="BC51" s="129"/>
      <c r="BD51" s="129"/>
      <c r="BE51" s="129"/>
      <c r="BF51" s="129"/>
      <c r="BG51" s="129"/>
      <c r="BH51" s="129"/>
      <c r="BI51" s="129"/>
      <c r="BJ51" s="129"/>
      <c r="BK51" s="129"/>
      <c r="BL51" s="129"/>
      <c r="BM51" s="129"/>
      <c r="BN51" s="129"/>
      <c r="BO51" s="129"/>
      <c r="BP51" s="129"/>
      <c r="BQ51" s="129"/>
      <c r="BR51" s="129"/>
      <c r="BS51" s="129"/>
      <c r="BT51" s="129"/>
      <c r="BU51" s="129"/>
      <c r="BV51" s="129"/>
      <c r="BW51" s="129"/>
      <c r="BX51" s="129"/>
      <c r="BY51" s="129"/>
      <c r="BZ51" s="129"/>
      <c r="CA51" s="129"/>
      <c r="CB51" s="129"/>
      <c r="CC51" s="129"/>
      <c r="CD51" s="129"/>
      <c r="CE51" s="129"/>
      <c r="CF51" s="129"/>
      <c r="CG51" s="129"/>
      <c r="CH51" s="129"/>
      <c r="CI51" s="129"/>
      <c r="CJ51" s="129"/>
      <c r="CK51" s="129"/>
      <c r="CL51" s="129"/>
      <c r="CM51" s="129"/>
      <c r="CN51" s="129"/>
      <c r="CO51" s="129"/>
      <c r="CP51" s="129"/>
      <c r="CQ51" s="129"/>
      <c r="CR51" s="129"/>
      <c r="CS51" s="129"/>
      <c r="CT51" s="129"/>
    </row>
    <row r="52" spans="1:98" s="120" customFormat="1">
      <c r="A52" s="303">
        <v>21</v>
      </c>
      <c r="B52" s="307" t="s">
        <v>294</v>
      </c>
      <c r="C52" s="303">
        <v>1</v>
      </c>
      <c r="D52" s="305">
        <f>VLOOKUP(F52,'Produtos Grupo D'!A:F,6,0)*12</f>
        <v>6935.9812571260381</v>
      </c>
      <c r="E52" s="305">
        <f t="shared" ref="E52:E65" si="7">D52*C52</f>
        <v>6935.9812571260381</v>
      </c>
      <c r="F52" s="304" t="str">
        <f t="shared" si="6"/>
        <v>valor mês produto 21</v>
      </c>
      <c r="G52" s="2"/>
      <c r="H52" s="129"/>
      <c r="I52" s="129"/>
      <c r="J52" s="129"/>
      <c r="K52" s="129"/>
      <c r="L52" s="129"/>
      <c r="M52" s="129"/>
      <c r="N52" s="129"/>
      <c r="O52" s="129"/>
      <c r="P52" s="129"/>
      <c r="Q52" s="129"/>
      <c r="R52" s="129"/>
      <c r="S52" s="129"/>
      <c r="T52" s="129"/>
      <c r="U52" s="129"/>
      <c r="V52" s="129"/>
      <c r="W52" s="129"/>
      <c r="X52" s="129"/>
      <c r="Y52" s="129"/>
      <c r="Z52" s="129"/>
      <c r="AA52" s="129"/>
      <c r="AB52" s="129"/>
      <c r="AC52" s="129"/>
      <c r="AD52" s="129"/>
      <c r="AE52" s="129"/>
      <c r="AF52" s="129"/>
      <c r="AG52" s="129"/>
      <c r="AH52" s="129"/>
      <c r="AI52" s="129"/>
      <c r="AJ52" s="129"/>
      <c r="AK52" s="129"/>
      <c r="AL52" s="129"/>
      <c r="AM52" s="129"/>
      <c r="AN52" s="129"/>
      <c r="AO52" s="129"/>
      <c r="AP52" s="129"/>
      <c r="AQ52" s="129"/>
      <c r="AR52" s="129"/>
      <c r="AS52" s="129"/>
      <c r="AT52" s="129"/>
      <c r="AU52" s="129"/>
      <c r="AV52" s="129"/>
      <c r="AW52" s="129"/>
      <c r="AX52" s="129"/>
      <c r="AY52" s="129"/>
      <c r="AZ52" s="129"/>
      <c r="BA52" s="129"/>
      <c r="BB52" s="129"/>
      <c r="BC52" s="129"/>
      <c r="BD52" s="129"/>
      <c r="BE52" s="129"/>
      <c r="BF52" s="129"/>
      <c r="BG52" s="129"/>
      <c r="BH52" s="129"/>
      <c r="BI52" s="129"/>
      <c r="BJ52" s="129"/>
      <c r="BK52" s="129"/>
      <c r="BL52" s="129"/>
      <c r="BM52" s="129"/>
      <c r="BN52" s="129"/>
      <c r="BO52" s="129"/>
      <c r="BP52" s="129"/>
      <c r="BQ52" s="129"/>
      <c r="BR52" s="129"/>
      <c r="BS52" s="129"/>
      <c r="BT52" s="129"/>
      <c r="BU52" s="129"/>
      <c r="BV52" s="129"/>
      <c r="BW52" s="129"/>
      <c r="BX52" s="129"/>
      <c r="BY52" s="129"/>
      <c r="BZ52" s="129"/>
      <c r="CA52" s="129"/>
      <c r="CB52" s="129"/>
      <c r="CC52" s="129"/>
      <c r="CD52" s="129"/>
      <c r="CE52" s="129"/>
      <c r="CF52" s="129"/>
      <c r="CG52" s="129"/>
      <c r="CH52" s="129"/>
      <c r="CI52" s="129"/>
      <c r="CJ52" s="129"/>
      <c r="CK52" s="129"/>
      <c r="CL52" s="129"/>
      <c r="CM52" s="129"/>
      <c r="CN52" s="129"/>
      <c r="CO52" s="129"/>
      <c r="CP52" s="129"/>
      <c r="CQ52" s="129"/>
      <c r="CR52" s="129"/>
      <c r="CS52" s="129"/>
      <c r="CT52" s="129"/>
    </row>
    <row r="53" spans="1:98" s="120" customFormat="1">
      <c r="A53" s="303">
        <v>22</v>
      </c>
      <c r="B53" s="307" t="s">
        <v>295</v>
      </c>
      <c r="C53" s="303">
        <v>1</v>
      </c>
      <c r="D53" s="305">
        <f>VLOOKUP(F53,'Produtos Grupo D'!A:F,6,0)*12</f>
        <v>6935.9812571260381</v>
      </c>
      <c r="E53" s="305">
        <f t="shared" si="7"/>
        <v>6935.9812571260381</v>
      </c>
      <c r="F53" s="304" t="str">
        <f t="shared" si="6"/>
        <v>valor mês produto 22</v>
      </c>
      <c r="G53" s="2"/>
      <c r="H53" s="129"/>
      <c r="I53" s="129"/>
      <c r="J53" s="129"/>
      <c r="K53" s="129"/>
      <c r="L53" s="129"/>
      <c r="M53" s="129"/>
      <c r="N53" s="129"/>
      <c r="O53" s="129"/>
      <c r="P53" s="129"/>
      <c r="Q53" s="129"/>
      <c r="R53" s="129"/>
      <c r="S53" s="129"/>
      <c r="T53" s="129"/>
      <c r="U53" s="129"/>
      <c r="V53" s="129"/>
      <c r="W53" s="129"/>
      <c r="X53" s="129"/>
      <c r="Y53" s="129"/>
      <c r="Z53" s="129"/>
      <c r="AA53" s="129"/>
      <c r="AB53" s="129"/>
      <c r="AC53" s="129"/>
      <c r="AD53" s="129"/>
      <c r="AE53" s="129"/>
      <c r="AF53" s="129"/>
      <c r="AG53" s="129"/>
      <c r="AH53" s="129"/>
      <c r="AI53" s="129"/>
      <c r="AJ53" s="129"/>
      <c r="AK53" s="129"/>
      <c r="AL53" s="129"/>
      <c r="AM53" s="129"/>
      <c r="AN53" s="129"/>
      <c r="AO53" s="129"/>
      <c r="AP53" s="129"/>
      <c r="AQ53" s="129"/>
      <c r="AR53" s="129"/>
      <c r="AS53" s="129"/>
      <c r="AT53" s="129"/>
      <c r="AU53" s="129"/>
      <c r="AV53" s="129"/>
      <c r="AW53" s="129"/>
      <c r="AX53" s="129"/>
      <c r="AY53" s="129"/>
      <c r="AZ53" s="129"/>
      <c r="BA53" s="129"/>
      <c r="BB53" s="129"/>
      <c r="BC53" s="129"/>
      <c r="BD53" s="129"/>
      <c r="BE53" s="129"/>
      <c r="BF53" s="129"/>
      <c r="BG53" s="129"/>
      <c r="BH53" s="129"/>
      <c r="BI53" s="129"/>
      <c r="BJ53" s="129"/>
      <c r="BK53" s="129"/>
      <c r="BL53" s="129"/>
      <c r="BM53" s="129"/>
      <c r="BN53" s="129"/>
      <c r="BO53" s="129"/>
      <c r="BP53" s="129"/>
      <c r="BQ53" s="129"/>
      <c r="BR53" s="129"/>
      <c r="BS53" s="129"/>
      <c r="BT53" s="129"/>
      <c r="BU53" s="129"/>
      <c r="BV53" s="129"/>
      <c r="BW53" s="129"/>
      <c r="BX53" s="129"/>
      <c r="BY53" s="129"/>
      <c r="BZ53" s="129"/>
      <c r="CA53" s="129"/>
      <c r="CB53" s="129"/>
      <c r="CC53" s="129"/>
      <c r="CD53" s="129"/>
      <c r="CE53" s="129"/>
      <c r="CF53" s="129"/>
      <c r="CG53" s="129"/>
      <c r="CH53" s="129"/>
      <c r="CI53" s="129"/>
      <c r="CJ53" s="129"/>
      <c r="CK53" s="129"/>
      <c r="CL53" s="129"/>
      <c r="CM53" s="129"/>
      <c r="CN53" s="129"/>
      <c r="CO53" s="129"/>
      <c r="CP53" s="129"/>
      <c r="CQ53" s="129"/>
      <c r="CR53" s="129"/>
      <c r="CS53" s="129"/>
      <c r="CT53" s="129"/>
    </row>
    <row r="54" spans="1:98" s="120" customFormat="1">
      <c r="A54" s="303">
        <v>23</v>
      </c>
      <c r="B54" s="307" t="s">
        <v>307</v>
      </c>
      <c r="C54" s="303">
        <v>1</v>
      </c>
      <c r="D54" s="305">
        <f>VLOOKUP(F54,'Produtos Grupo D'!A:F,6,0)*12</f>
        <v>6935.9812571260381</v>
      </c>
      <c r="E54" s="305">
        <f t="shared" si="7"/>
        <v>6935.9812571260381</v>
      </c>
      <c r="F54" s="304" t="str">
        <f t="shared" si="6"/>
        <v>valor mês produto 23</v>
      </c>
      <c r="G54" s="2"/>
      <c r="H54" s="129"/>
      <c r="I54" s="129"/>
      <c r="J54" s="129"/>
      <c r="K54" s="129"/>
      <c r="L54" s="129"/>
      <c r="M54" s="129"/>
      <c r="N54" s="129"/>
      <c r="O54" s="129"/>
      <c r="P54" s="129"/>
      <c r="Q54" s="129"/>
      <c r="R54" s="129"/>
      <c r="S54" s="129"/>
      <c r="T54" s="129"/>
      <c r="U54" s="129"/>
      <c r="V54" s="129"/>
      <c r="W54" s="129"/>
      <c r="X54" s="129"/>
      <c r="Y54" s="129"/>
      <c r="Z54" s="129"/>
      <c r="AA54" s="129"/>
      <c r="AB54" s="129"/>
      <c r="AC54" s="129"/>
      <c r="AD54" s="129"/>
      <c r="AE54" s="129"/>
      <c r="AF54" s="129"/>
      <c r="AG54" s="129"/>
      <c r="AH54" s="129"/>
      <c r="AI54" s="129"/>
      <c r="AJ54" s="129"/>
      <c r="AK54" s="129"/>
      <c r="AL54" s="129"/>
      <c r="AM54" s="129"/>
      <c r="AN54" s="129"/>
      <c r="AO54" s="129"/>
      <c r="AP54" s="129"/>
      <c r="AQ54" s="129"/>
      <c r="AR54" s="129"/>
      <c r="AS54" s="129"/>
      <c r="AT54" s="129"/>
      <c r="AU54" s="129"/>
      <c r="AV54" s="129"/>
      <c r="AW54" s="129"/>
      <c r="AX54" s="129"/>
      <c r="AY54" s="129"/>
      <c r="AZ54" s="129"/>
      <c r="BA54" s="129"/>
      <c r="BB54" s="129"/>
      <c r="BC54" s="129"/>
      <c r="BD54" s="129"/>
      <c r="BE54" s="129"/>
      <c r="BF54" s="129"/>
      <c r="BG54" s="129"/>
      <c r="BH54" s="129"/>
      <c r="BI54" s="129"/>
      <c r="BJ54" s="129"/>
      <c r="BK54" s="129"/>
      <c r="BL54" s="129"/>
      <c r="BM54" s="129"/>
      <c r="BN54" s="129"/>
      <c r="BO54" s="129"/>
      <c r="BP54" s="129"/>
      <c r="BQ54" s="129"/>
      <c r="BR54" s="129"/>
      <c r="BS54" s="129"/>
      <c r="BT54" s="129"/>
      <c r="BU54" s="129"/>
      <c r="BV54" s="129"/>
      <c r="BW54" s="129"/>
      <c r="BX54" s="129"/>
      <c r="BY54" s="129"/>
      <c r="BZ54" s="129"/>
      <c r="CA54" s="129"/>
      <c r="CB54" s="129"/>
      <c r="CC54" s="129"/>
      <c r="CD54" s="129"/>
      <c r="CE54" s="129"/>
      <c r="CF54" s="129"/>
      <c r="CG54" s="129"/>
      <c r="CH54" s="129"/>
      <c r="CI54" s="129"/>
      <c r="CJ54" s="129"/>
      <c r="CK54" s="129"/>
      <c r="CL54" s="129"/>
      <c r="CM54" s="129"/>
      <c r="CN54" s="129"/>
      <c r="CO54" s="129"/>
      <c r="CP54" s="129"/>
      <c r="CQ54" s="129"/>
      <c r="CR54" s="129"/>
      <c r="CS54" s="129"/>
      <c r="CT54" s="129"/>
    </row>
    <row r="55" spans="1:98" s="120" customFormat="1">
      <c r="A55" s="303">
        <v>24</v>
      </c>
      <c r="B55" s="307" t="s">
        <v>296</v>
      </c>
      <c r="C55" s="303">
        <v>1</v>
      </c>
      <c r="D55" s="305">
        <f>VLOOKUP(F55,'Produtos Grupo D'!A:F,6,0)*12</f>
        <v>6935.9812571260381</v>
      </c>
      <c r="E55" s="305">
        <f t="shared" si="7"/>
        <v>6935.9812571260381</v>
      </c>
      <c r="F55" s="304" t="str">
        <f t="shared" si="6"/>
        <v>valor mês produto 24</v>
      </c>
      <c r="G55" s="2"/>
      <c r="H55" s="129"/>
      <c r="I55" s="129"/>
      <c r="J55" s="129"/>
      <c r="K55" s="129"/>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c r="AJ55" s="129"/>
      <c r="AK55" s="129"/>
      <c r="AL55" s="129"/>
      <c r="AM55" s="129"/>
      <c r="AN55" s="129"/>
      <c r="AO55" s="129"/>
      <c r="AP55" s="129"/>
      <c r="AQ55" s="129"/>
      <c r="AR55" s="129"/>
      <c r="AS55" s="129"/>
      <c r="AT55" s="129"/>
      <c r="AU55" s="129"/>
      <c r="AV55" s="129"/>
      <c r="AW55" s="129"/>
      <c r="AX55" s="129"/>
      <c r="AY55" s="129"/>
      <c r="AZ55" s="129"/>
      <c r="BA55" s="129"/>
      <c r="BB55" s="129"/>
      <c r="BC55" s="129"/>
      <c r="BD55" s="129"/>
      <c r="BE55" s="129"/>
      <c r="BF55" s="129"/>
      <c r="BG55" s="129"/>
      <c r="BH55" s="129"/>
      <c r="BI55" s="129"/>
      <c r="BJ55" s="129"/>
      <c r="BK55" s="129"/>
      <c r="BL55" s="129"/>
      <c r="BM55" s="129"/>
      <c r="BN55" s="129"/>
      <c r="BO55" s="129"/>
      <c r="BP55" s="129"/>
      <c r="BQ55" s="129"/>
      <c r="BR55" s="129"/>
      <c r="BS55" s="129"/>
      <c r="BT55" s="129"/>
      <c r="BU55" s="129"/>
      <c r="BV55" s="129"/>
      <c r="BW55" s="129"/>
      <c r="BX55" s="129"/>
      <c r="BY55" s="129"/>
      <c r="BZ55" s="129"/>
      <c r="CA55" s="129"/>
      <c r="CB55" s="129"/>
      <c r="CC55" s="129"/>
      <c r="CD55" s="129"/>
      <c r="CE55" s="129"/>
      <c r="CF55" s="129"/>
      <c r="CG55" s="129"/>
      <c r="CH55" s="129"/>
      <c r="CI55" s="129"/>
      <c r="CJ55" s="129"/>
      <c r="CK55" s="129"/>
      <c r="CL55" s="129"/>
      <c r="CM55" s="129"/>
      <c r="CN55" s="129"/>
      <c r="CO55" s="129"/>
      <c r="CP55" s="129"/>
      <c r="CQ55" s="129"/>
      <c r="CR55" s="129"/>
      <c r="CS55" s="129"/>
      <c r="CT55" s="129"/>
    </row>
    <row r="56" spans="1:98" s="120" customFormat="1">
      <c r="A56" s="303">
        <v>25</v>
      </c>
      <c r="B56" s="307" t="s">
        <v>297</v>
      </c>
      <c r="C56" s="303">
        <v>1</v>
      </c>
      <c r="D56" s="305">
        <f>VLOOKUP(F56,'Produtos Grupo D'!A:F,6,0)*12</f>
        <v>6935.9812571260381</v>
      </c>
      <c r="E56" s="305">
        <f t="shared" si="7"/>
        <v>6935.9812571260381</v>
      </c>
      <c r="F56" s="304" t="str">
        <f t="shared" si="6"/>
        <v>valor mês produto 25</v>
      </c>
      <c r="G56" s="2"/>
      <c r="H56" s="129"/>
      <c r="I56" s="129"/>
      <c r="J56" s="129"/>
      <c r="K56" s="129"/>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c r="AJ56" s="129"/>
      <c r="AK56" s="129"/>
      <c r="AL56" s="129"/>
      <c r="AM56" s="129"/>
      <c r="AN56" s="129"/>
      <c r="AO56" s="129"/>
      <c r="AP56" s="129"/>
      <c r="AQ56" s="129"/>
      <c r="AR56" s="129"/>
      <c r="AS56" s="129"/>
      <c r="AT56" s="129"/>
      <c r="AU56" s="129"/>
      <c r="AV56" s="129"/>
      <c r="AW56" s="129"/>
      <c r="AX56" s="129"/>
      <c r="AY56" s="129"/>
      <c r="AZ56" s="129"/>
      <c r="BA56" s="129"/>
      <c r="BB56" s="129"/>
      <c r="BC56" s="129"/>
      <c r="BD56" s="129"/>
      <c r="BE56" s="129"/>
      <c r="BF56" s="129"/>
      <c r="BG56" s="129"/>
      <c r="BH56" s="129"/>
      <c r="BI56" s="129"/>
      <c r="BJ56" s="129"/>
      <c r="BK56" s="129"/>
      <c r="BL56" s="129"/>
      <c r="BM56" s="129"/>
      <c r="BN56" s="129"/>
      <c r="BO56" s="129"/>
      <c r="BP56" s="129"/>
      <c r="BQ56" s="129"/>
      <c r="BR56" s="129"/>
      <c r="BS56" s="129"/>
      <c r="BT56" s="129"/>
      <c r="BU56" s="129"/>
      <c r="BV56" s="129"/>
      <c r="BW56" s="129"/>
      <c r="BX56" s="129"/>
      <c r="BY56" s="129"/>
      <c r="BZ56" s="129"/>
      <c r="CA56" s="129"/>
      <c r="CB56" s="129"/>
      <c r="CC56" s="129"/>
      <c r="CD56" s="129"/>
      <c r="CE56" s="129"/>
      <c r="CF56" s="129"/>
      <c r="CG56" s="129"/>
      <c r="CH56" s="129"/>
      <c r="CI56" s="129"/>
      <c r="CJ56" s="129"/>
      <c r="CK56" s="129"/>
      <c r="CL56" s="129"/>
      <c r="CM56" s="129"/>
      <c r="CN56" s="129"/>
      <c r="CO56" s="129"/>
      <c r="CP56" s="129"/>
      <c r="CQ56" s="129"/>
      <c r="CR56" s="129"/>
      <c r="CS56" s="129"/>
      <c r="CT56" s="129"/>
    </row>
    <row r="57" spans="1:98" s="120" customFormat="1">
      <c r="A57" s="303">
        <v>26</v>
      </c>
      <c r="B57" s="307" t="s">
        <v>298</v>
      </c>
      <c r="C57" s="303">
        <v>1</v>
      </c>
      <c r="D57" s="305">
        <f>VLOOKUP(F57,'Produtos Grupo D'!A:F,6,0)*12</f>
        <v>6935.9812571260381</v>
      </c>
      <c r="E57" s="305">
        <f t="shared" si="7"/>
        <v>6935.9812571260381</v>
      </c>
      <c r="F57" s="304" t="str">
        <f t="shared" si="6"/>
        <v>valor mês produto 26</v>
      </c>
      <c r="G57" s="2"/>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29"/>
      <c r="BO57" s="129"/>
      <c r="BP57" s="129"/>
      <c r="BQ57" s="129"/>
      <c r="BR57" s="129"/>
      <c r="BS57" s="129"/>
      <c r="BT57" s="129"/>
      <c r="BU57" s="129"/>
      <c r="BV57" s="129"/>
      <c r="BW57" s="129"/>
      <c r="BX57" s="129"/>
      <c r="BY57" s="129"/>
      <c r="BZ57" s="129"/>
      <c r="CA57" s="129"/>
      <c r="CB57" s="129"/>
      <c r="CC57" s="129"/>
      <c r="CD57" s="129"/>
      <c r="CE57" s="129"/>
      <c r="CF57" s="129"/>
      <c r="CG57" s="129"/>
      <c r="CH57" s="129"/>
      <c r="CI57" s="129"/>
      <c r="CJ57" s="129"/>
      <c r="CK57" s="129"/>
      <c r="CL57" s="129"/>
      <c r="CM57" s="129"/>
      <c r="CN57" s="129"/>
      <c r="CO57" s="129"/>
      <c r="CP57" s="129"/>
      <c r="CQ57" s="129"/>
      <c r="CR57" s="129"/>
      <c r="CS57" s="129"/>
      <c r="CT57" s="129"/>
    </row>
    <row r="58" spans="1:98" s="120" customFormat="1">
      <c r="A58" s="303">
        <v>27</v>
      </c>
      <c r="B58" s="307" t="s">
        <v>299</v>
      </c>
      <c r="C58" s="303">
        <v>1</v>
      </c>
      <c r="D58" s="305">
        <f>VLOOKUP(F58,'Produtos Grupo D'!A:F,6,0)*12</f>
        <v>6935.9812571260381</v>
      </c>
      <c r="E58" s="305">
        <f t="shared" si="7"/>
        <v>6935.9812571260381</v>
      </c>
      <c r="F58" s="304" t="str">
        <f t="shared" si="6"/>
        <v>valor mês produto 27</v>
      </c>
      <c r="G58" s="2"/>
      <c r="H58" s="129"/>
      <c r="I58" s="129"/>
      <c r="J58" s="129"/>
      <c r="K58" s="129"/>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29"/>
      <c r="AJ58" s="129"/>
      <c r="AK58" s="129"/>
      <c r="AL58" s="129"/>
      <c r="AM58" s="129"/>
      <c r="AN58" s="129"/>
      <c r="AO58" s="129"/>
      <c r="AP58" s="129"/>
      <c r="AQ58" s="129"/>
      <c r="AR58" s="129"/>
      <c r="AS58" s="129"/>
      <c r="AT58" s="129"/>
      <c r="AU58" s="129"/>
      <c r="AV58" s="129"/>
      <c r="AW58" s="129"/>
      <c r="AX58" s="129"/>
      <c r="AY58" s="129"/>
      <c r="AZ58" s="129"/>
      <c r="BA58" s="129"/>
      <c r="BB58" s="129"/>
      <c r="BC58" s="129"/>
      <c r="BD58" s="129"/>
      <c r="BE58" s="129"/>
      <c r="BF58" s="129"/>
      <c r="BG58" s="129"/>
      <c r="BH58" s="129"/>
      <c r="BI58" s="129"/>
      <c r="BJ58" s="129"/>
      <c r="BK58" s="129"/>
      <c r="BL58" s="129"/>
      <c r="BM58" s="129"/>
      <c r="BN58" s="129"/>
      <c r="BO58" s="129"/>
      <c r="BP58" s="129"/>
      <c r="BQ58" s="129"/>
      <c r="BR58" s="129"/>
      <c r="BS58" s="129"/>
      <c r="BT58" s="129"/>
      <c r="BU58" s="129"/>
      <c r="BV58" s="129"/>
      <c r="BW58" s="129"/>
      <c r="BX58" s="129"/>
      <c r="BY58" s="129"/>
      <c r="BZ58" s="129"/>
      <c r="CA58" s="129"/>
      <c r="CB58" s="129"/>
      <c r="CC58" s="129"/>
      <c r="CD58" s="129"/>
      <c r="CE58" s="129"/>
      <c r="CF58" s="129"/>
      <c r="CG58" s="129"/>
      <c r="CH58" s="129"/>
      <c r="CI58" s="129"/>
      <c r="CJ58" s="129"/>
      <c r="CK58" s="129"/>
      <c r="CL58" s="129"/>
      <c r="CM58" s="129"/>
      <c r="CN58" s="129"/>
      <c r="CO58" s="129"/>
      <c r="CP58" s="129"/>
      <c r="CQ58" s="129"/>
      <c r="CR58" s="129"/>
      <c r="CS58" s="129"/>
      <c r="CT58" s="129"/>
    </row>
    <row r="59" spans="1:98" s="120" customFormat="1">
      <c r="A59" s="303">
        <v>28</v>
      </c>
      <c r="B59" s="307" t="s">
        <v>300</v>
      </c>
      <c r="C59" s="303">
        <v>1</v>
      </c>
      <c r="D59" s="305">
        <f>VLOOKUP(F59,'Produtos Grupo D'!A:F,6,0)*12</f>
        <v>6935.9812571260381</v>
      </c>
      <c r="E59" s="305">
        <f t="shared" si="7"/>
        <v>6935.9812571260381</v>
      </c>
      <c r="F59" s="304" t="str">
        <f t="shared" si="6"/>
        <v>valor mês produto 28</v>
      </c>
      <c r="G59" s="2"/>
      <c r="H59" s="129"/>
      <c r="I59" s="129"/>
      <c r="J59" s="129"/>
      <c r="K59" s="129"/>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29"/>
      <c r="AJ59" s="129"/>
      <c r="AK59" s="129"/>
      <c r="AL59" s="129"/>
      <c r="AM59" s="129"/>
      <c r="AN59" s="129"/>
      <c r="AO59" s="129"/>
      <c r="AP59" s="129"/>
      <c r="AQ59" s="129"/>
      <c r="AR59" s="129"/>
      <c r="AS59" s="129"/>
      <c r="AT59" s="129"/>
      <c r="AU59" s="129"/>
      <c r="AV59" s="129"/>
      <c r="AW59" s="129"/>
      <c r="AX59" s="129"/>
      <c r="AY59" s="129"/>
      <c r="AZ59" s="129"/>
      <c r="BA59" s="129"/>
      <c r="BB59" s="129"/>
      <c r="BC59" s="129"/>
      <c r="BD59" s="129"/>
      <c r="BE59" s="129"/>
      <c r="BF59" s="129"/>
      <c r="BG59" s="129"/>
      <c r="BH59" s="129"/>
      <c r="BI59" s="129"/>
      <c r="BJ59" s="129"/>
      <c r="BK59" s="129"/>
      <c r="BL59" s="129"/>
      <c r="BM59" s="129"/>
      <c r="BN59" s="129"/>
      <c r="BO59" s="129"/>
      <c r="BP59" s="129"/>
      <c r="BQ59" s="129"/>
      <c r="BR59" s="129"/>
      <c r="BS59" s="129"/>
      <c r="BT59" s="129"/>
      <c r="BU59" s="129"/>
      <c r="BV59" s="129"/>
      <c r="BW59" s="129"/>
      <c r="BX59" s="129"/>
      <c r="BY59" s="129"/>
      <c r="BZ59" s="129"/>
      <c r="CA59" s="129"/>
      <c r="CB59" s="129"/>
      <c r="CC59" s="129"/>
      <c r="CD59" s="129"/>
      <c r="CE59" s="129"/>
      <c r="CF59" s="129"/>
      <c r="CG59" s="129"/>
      <c r="CH59" s="129"/>
      <c r="CI59" s="129"/>
      <c r="CJ59" s="129"/>
      <c r="CK59" s="129"/>
      <c r="CL59" s="129"/>
      <c r="CM59" s="129"/>
      <c r="CN59" s="129"/>
      <c r="CO59" s="129"/>
      <c r="CP59" s="129"/>
      <c r="CQ59" s="129"/>
      <c r="CR59" s="129"/>
      <c r="CS59" s="129"/>
      <c r="CT59" s="129"/>
    </row>
    <row r="60" spans="1:98" s="120" customFormat="1" ht="22.8">
      <c r="A60" s="303">
        <v>29</v>
      </c>
      <c r="B60" s="307" t="s">
        <v>301</v>
      </c>
      <c r="C60" s="303">
        <v>1</v>
      </c>
      <c r="D60" s="305">
        <f>VLOOKUP(F60,'Produtos Grupo D'!A:F,6,0)*12</f>
        <v>6935.9812571260381</v>
      </c>
      <c r="E60" s="305">
        <f t="shared" si="7"/>
        <v>6935.9812571260381</v>
      </c>
      <c r="F60" s="304" t="str">
        <f t="shared" si="6"/>
        <v>valor mês produto 29</v>
      </c>
      <c r="G60" s="2"/>
      <c r="H60" s="129"/>
      <c r="I60" s="129"/>
      <c r="J60" s="129"/>
      <c r="K60" s="129"/>
      <c r="L60" s="129"/>
      <c r="M60" s="129"/>
      <c r="N60" s="129"/>
      <c r="O60" s="129"/>
      <c r="P60" s="129"/>
      <c r="Q60" s="129"/>
      <c r="R60" s="129"/>
      <c r="S60" s="129"/>
      <c r="T60" s="129"/>
      <c r="U60" s="129"/>
      <c r="V60" s="129"/>
      <c r="W60" s="129"/>
      <c r="X60" s="129"/>
      <c r="Y60" s="129"/>
      <c r="Z60" s="129"/>
      <c r="AA60" s="129"/>
      <c r="AB60" s="129"/>
      <c r="AC60" s="129"/>
      <c r="AD60" s="129"/>
      <c r="AE60" s="129"/>
      <c r="AF60" s="129"/>
      <c r="AG60" s="129"/>
      <c r="AH60" s="129"/>
      <c r="AI60" s="129"/>
      <c r="AJ60" s="129"/>
      <c r="AK60" s="129"/>
      <c r="AL60" s="129"/>
      <c r="AM60" s="129"/>
      <c r="AN60" s="129"/>
      <c r="AO60" s="129"/>
      <c r="AP60" s="129"/>
      <c r="AQ60" s="129"/>
      <c r="AR60" s="129"/>
      <c r="AS60" s="129"/>
      <c r="AT60" s="129"/>
      <c r="AU60" s="129"/>
      <c r="AV60" s="129"/>
      <c r="AW60" s="129"/>
      <c r="AX60" s="129"/>
      <c r="AY60" s="129"/>
      <c r="AZ60" s="129"/>
      <c r="BA60" s="129"/>
      <c r="BB60" s="129"/>
      <c r="BC60" s="129"/>
      <c r="BD60" s="129"/>
      <c r="BE60" s="129"/>
      <c r="BF60" s="129"/>
      <c r="BG60" s="129"/>
      <c r="BH60" s="129"/>
      <c r="BI60" s="129"/>
      <c r="BJ60" s="129"/>
      <c r="BK60" s="129"/>
      <c r="BL60" s="129"/>
      <c r="BM60" s="129"/>
      <c r="BN60" s="129"/>
      <c r="BO60" s="129"/>
      <c r="BP60" s="129"/>
      <c r="BQ60" s="129"/>
      <c r="BR60" s="129"/>
      <c r="BS60" s="129"/>
      <c r="BT60" s="129"/>
      <c r="BU60" s="129"/>
      <c r="BV60" s="129"/>
      <c r="BW60" s="129"/>
      <c r="BX60" s="129"/>
      <c r="BY60" s="129"/>
      <c r="BZ60" s="129"/>
      <c r="CA60" s="129"/>
      <c r="CB60" s="129"/>
      <c r="CC60" s="129"/>
      <c r="CD60" s="129"/>
      <c r="CE60" s="129"/>
      <c r="CF60" s="129"/>
      <c r="CG60" s="129"/>
      <c r="CH60" s="129"/>
      <c r="CI60" s="129"/>
      <c r="CJ60" s="129"/>
      <c r="CK60" s="129"/>
      <c r="CL60" s="129"/>
      <c r="CM60" s="129"/>
      <c r="CN60" s="129"/>
      <c r="CO60" s="129"/>
      <c r="CP60" s="129"/>
      <c r="CQ60" s="129"/>
      <c r="CR60" s="129"/>
      <c r="CS60" s="129"/>
      <c r="CT60" s="129"/>
    </row>
    <row r="61" spans="1:98" s="120" customFormat="1">
      <c r="A61" s="303">
        <v>30</v>
      </c>
      <c r="B61" s="307" t="s">
        <v>302</v>
      </c>
      <c r="C61" s="303">
        <v>1</v>
      </c>
      <c r="D61" s="305">
        <f>VLOOKUP(F61,'Produtos Grupo D'!A:F,6,0)*12</f>
        <v>6935.9812571260381</v>
      </c>
      <c r="E61" s="305">
        <f t="shared" si="7"/>
        <v>6935.9812571260381</v>
      </c>
      <c r="F61" s="304" t="str">
        <f t="shared" si="6"/>
        <v>valor mês produto 30</v>
      </c>
      <c r="G61" s="2"/>
      <c r="H61" s="129"/>
      <c r="I61" s="129"/>
      <c r="J61" s="129"/>
      <c r="K61" s="129"/>
      <c r="L61" s="129"/>
      <c r="M61" s="129"/>
      <c r="N61" s="129"/>
      <c r="O61" s="129"/>
      <c r="P61" s="129"/>
      <c r="Q61" s="129"/>
      <c r="R61" s="129"/>
      <c r="S61" s="129"/>
      <c r="T61" s="129"/>
      <c r="U61" s="129"/>
      <c r="V61" s="129"/>
      <c r="W61" s="129"/>
      <c r="X61" s="129"/>
      <c r="Y61" s="129"/>
      <c r="Z61" s="129"/>
      <c r="AA61" s="129"/>
      <c r="AB61" s="129"/>
      <c r="AC61" s="129"/>
      <c r="AD61" s="129"/>
      <c r="AE61" s="129"/>
      <c r="AF61" s="129"/>
      <c r="AG61" s="129"/>
      <c r="AH61" s="129"/>
      <c r="AI61" s="129"/>
      <c r="AJ61" s="129"/>
      <c r="AK61" s="129"/>
      <c r="AL61" s="129"/>
      <c r="AM61" s="129"/>
      <c r="AN61" s="129"/>
      <c r="AO61" s="129"/>
      <c r="AP61" s="129"/>
      <c r="AQ61" s="129"/>
      <c r="AR61" s="129"/>
      <c r="AS61" s="129"/>
      <c r="AT61" s="129"/>
      <c r="AU61" s="129"/>
      <c r="AV61" s="129"/>
      <c r="AW61" s="129"/>
      <c r="AX61" s="129"/>
      <c r="AY61" s="129"/>
      <c r="AZ61" s="129"/>
      <c r="BA61" s="129"/>
      <c r="BB61" s="129"/>
      <c r="BC61" s="129"/>
      <c r="BD61" s="129"/>
      <c r="BE61" s="129"/>
      <c r="BF61" s="129"/>
      <c r="BG61" s="129"/>
      <c r="BH61" s="129"/>
      <c r="BI61" s="129"/>
      <c r="BJ61" s="129"/>
      <c r="BK61" s="129"/>
      <c r="BL61" s="129"/>
      <c r="BM61" s="129"/>
      <c r="BN61" s="129"/>
      <c r="BO61" s="129"/>
      <c r="BP61" s="129"/>
      <c r="BQ61" s="129"/>
      <c r="BR61" s="129"/>
      <c r="BS61" s="129"/>
      <c r="BT61" s="129"/>
      <c r="BU61" s="129"/>
      <c r="BV61" s="129"/>
      <c r="BW61" s="129"/>
      <c r="BX61" s="129"/>
      <c r="BY61" s="129"/>
      <c r="BZ61" s="129"/>
      <c r="CA61" s="129"/>
      <c r="CB61" s="129"/>
      <c r="CC61" s="129"/>
      <c r="CD61" s="129"/>
      <c r="CE61" s="129"/>
      <c r="CF61" s="129"/>
      <c r="CG61" s="129"/>
      <c r="CH61" s="129"/>
      <c r="CI61" s="129"/>
      <c r="CJ61" s="129"/>
      <c r="CK61" s="129"/>
      <c r="CL61" s="129"/>
      <c r="CM61" s="129"/>
      <c r="CN61" s="129"/>
      <c r="CO61" s="129"/>
      <c r="CP61" s="129"/>
      <c r="CQ61" s="129"/>
      <c r="CR61" s="129"/>
      <c r="CS61" s="129"/>
      <c r="CT61" s="129"/>
    </row>
    <row r="62" spans="1:98" s="120" customFormat="1">
      <c r="A62" s="303">
        <v>31</v>
      </c>
      <c r="B62" s="307" t="s">
        <v>303</v>
      </c>
      <c r="C62" s="303">
        <v>1</v>
      </c>
      <c r="D62" s="305">
        <f>VLOOKUP(F62,'Produtos Grupo D'!A:F,6,0)*12</f>
        <v>6935.9812571260381</v>
      </c>
      <c r="E62" s="305">
        <f t="shared" si="7"/>
        <v>6935.9812571260381</v>
      </c>
      <c r="F62" s="304" t="str">
        <f t="shared" si="6"/>
        <v>valor mês produto 31</v>
      </c>
      <c r="G62" s="2"/>
      <c r="H62" s="129"/>
      <c r="I62" s="129"/>
      <c r="J62" s="129"/>
      <c r="K62" s="129"/>
      <c r="L62" s="129"/>
      <c r="M62" s="129"/>
      <c r="N62" s="129"/>
      <c r="O62" s="129"/>
      <c r="P62" s="129"/>
      <c r="Q62" s="129"/>
      <c r="R62" s="129"/>
      <c r="S62" s="129"/>
      <c r="T62" s="129"/>
      <c r="U62" s="129"/>
      <c r="V62" s="129"/>
      <c r="W62" s="129"/>
      <c r="X62" s="129"/>
      <c r="Y62" s="129"/>
      <c r="Z62" s="129"/>
      <c r="AA62" s="129"/>
      <c r="AB62" s="129"/>
      <c r="AC62" s="129"/>
      <c r="AD62" s="129"/>
      <c r="AE62" s="129"/>
      <c r="AF62" s="129"/>
      <c r="AG62" s="129"/>
      <c r="AH62" s="129"/>
      <c r="AI62" s="129"/>
      <c r="AJ62" s="129"/>
      <c r="AK62" s="129"/>
      <c r="AL62" s="129"/>
      <c r="AM62" s="129"/>
      <c r="AN62" s="129"/>
      <c r="AO62" s="129"/>
      <c r="AP62" s="129"/>
      <c r="AQ62" s="129"/>
      <c r="AR62" s="129"/>
      <c r="AS62" s="129"/>
      <c r="AT62" s="129"/>
      <c r="AU62" s="129"/>
      <c r="AV62" s="129"/>
      <c r="AW62" s="129"/>
      <c r="AX62" s="129"/>
      <c r="AY62" s="129"/>
      <c r="AZ62" s="129"/>
      <c r="BA62" s="129"/>
      <c r="BB62" s="129"/>
      <c r="BC62" s="129"/>
      <c r="BD62" s="129"/>
      <c r="BE62" s="129"/>
      <c r="BF62" s="129"/>
      <c r="BG62" s="129"/>
      <c r="BH62" s="129"/>
      <c r="BI62" s="129"/>
      <c r="BJ62" s="129"/>
      <c r="BK62" s="129"/>
      <c r="BL62" s="129"/>
      <c r="BM62" s="129"/>
      <c r="BN62" s="129"/>
      <c r="BO62" s="129"/>
      <c r="BP62" s="129"/>
      <c r="BQ62" s="129"/>
      <c r="BR62" s="129"/>
      <c r="BS62" s="129"/>
      <c r="BT62" s="129"/>
      <c r="BU62" s="129"/>
      <c r="BV62" s="129"/>
      <c r="BW62" s="129"/>
      <c r="BX62" s="129"/>
      <c r="BY62" s="129"/>
      <c r="BZ62" s="129"/>
      <c r="CA62" s="129"/>
      <c r="CB62" s="129"/>
      <c r="CC62" s="129"/>
      <c r="CD62" s="129"/>
      <c r="CE62" s="129"/>
      <c r="CF62" s="129"/>
      <c r="CG62" s="129"/>
      <c r="CH62" s="129"/>
      <c r="CI62" s="129"/>
      <c r="CJ62" s="129"/>
      <c r="CK62" s="129"/>
      <c r="CL62" s="129"/>
      <c r="CM62" s="129"/>
      <c r="CN62" s="129"/>
      <c r="CO62" s="129"/>
      <c r="CP62" s="129"/>
      <c r="CQ62" s="129"/>
      <c r="CR62" s="129"/>
      <c r="CS62" s="129"/>
      <c r="CT62" s="129"/>
    </row>
    <row r="63" spans="1:98" s="120" customFormat="1">
      <c r="A63" s="303">
        <v>32</v>
      </c>
      <c r="B63" s="307" t="s">
        <v>304</v>
      </c>
      <c r="C63" s="303">
        <v>1</v>
      </c>
      <c r="D63" s="305">
        <f>VLOOKUP(F63,'Produtos Grupo D'!A:F,6,0)*12</f>
        <v>6935.9812571260381</v>
      </c>
      <c r="E63" s="305">
        <f t="shared" si="7"/>
        <v>6935.9812571260381</v>
      </c>
      <c r="F63" s="304" t="str">
        <f t="shared" si="6"/>
        <v>valor mês produto 32</v>
      </c>
      <c r="G63" s="2"/>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c r="AI63" s="129"/>
      <c r="AJ63" s="129"/>
      <c r="AK63" s="129"/>
      <c r="AL63" s="129"/>
      <c r="AM63" s="129"/>
      <c r="AN63" s="129"/>
      <c r="AO63" s="129"/>
      <c r="AP63" s="129"/>
      <c r="AQ63" s="129"/>
      <c r="AR63" s="129"/>
      <c r="AS63" s="129"/>
      <c r="AT63" s="129"/>
      <c r="AU63" s="129"/>
      <c r="AV63" s="129"/>
      <c r="AW63" s="129"/>
      <c r="AX63" s="129"/>
      <c r="AY63" s="129"/>
      <c r="AZ63" s="129"/>
      <c r="BA63" s="129"/>
      <c r="BB63" s="129"/>
      <c r="BC63" s="129"/>
      <c r="BD63" s="129"/>
      <c r="BE63" s="129"/>
      <c r="BF63" s="129"/>
      <c r="BG63" s="129"/>
      <c r="BH63" s="129"/>
      <c r="BI63" s="129"/>
      <c r="BJ63" s="129"/>
      <c r="BK63" s="129"/>
      <c r="BL63" s="129"/>
      <c r="BM63" s="129"/>
      <c r="BN63" s="129"/>
      <c r="BO63" s="129"/>
      <c r="BP63" s="129"/>
      <c r="BQ63" s="129"/>
      <c r="BR63" s="129"/>
      <c r="BS63" s="129"/>
      <c r="BT63" s="129"/>
      <c r="BU63" s="129"/>
      <c r="BV63" s="129"/>
      <c r="BW63" s="129"/>
      <c r="BX63" s="129"/>
      <c r="BY63" s="129"/>
      <c r="BZ63" s="129"/>
      <c r="CA63" s="129"/>
      <c r="CB63" s="129"/>
      <c r="CC63" s="129"/>
      <c r="CD63" s="129"/>
      <c r="CE63" s="129"/>
      <c r="CF63" s="129"/>
      <c r="CG63" s="129"/>
      <c r="CH63" s="129"/>
      <c r="CI63" s="129"/>
      <c r="CJ63" s="129"/>
      <c r="CK63" s="129"/>
      <c r="CL63" s="129"/>
      <c r="CM63" s="129"/>
      <c r="CN63" s="129"/>
      <c r="CO63" s="129"/>
      <c r="CP63" s="129"/>
      <c r="CQ63" s="129"/>
      <c r="CR63" s="129"/>
      <c r="CS63" s="129"/>
      <c r="CT63" s="129"/>
    </row>
    <row r="64" spans="1:98" s="120" customFormat="1">
      <c r="A64" s="303">
        <v>33</v>
      </c>
      <c r="B64" s="307" t="s">
        <v>305</v>
      </c>
      <c r="C64" s="303">
        <v>1</v>
      </c>
      <c r="D64" s="305">
        <f>VLOOKUP(F64,'Produtos Grupo D'!A:F,6,0)*12</f>
        <v>6935.9812571260381</v>
      </c>
      <c r="E64" s="305">
        <f t="shared" si="7"/>
        <v>6935.9812571260381</v>
      </c>
      <c r="F64" s="304" t="str">
        <f t="shared" si="6"/>
        <v>valor mês produto 33</v>
      </c>
      <c r="G64" s="2"/>
      <c r="H64" s="129"/>
      <c r="I64" s="129"/>
      <c r="J64" s="129"/>
      <c r="K64" s="129"/>
      <c r="L64" s="129"/>
      <c r="M64" s="129"/>
      <c r="N64" s="129"/>
      <c r="O64" s="129"/>
      <c r="P64" s="129"/>
      <c r="Q64" s="129"/>
      <c r="R64" s="129"/>
      <c r="S64" s="129"/>
      <c r="T64" s="129"/>
      <c r="U64" s="129"/>
      <c r="V64" s="129"/>
      <c r="W64" s="129"/>
      <c r="X64" s="129"/>
      <c r="Y64" s="129"/>
      <c r="Z64" s="129"/>
      <c r="AA64" s="129"/>
      <c r="AB64" s="129"/>
      <c r="AC64" s="129"/>
      <c r="AD64" s="129"/>
      <c r="AE64" s="129"/>
      <c r="AF64" s="129"/>
      <c r="AG64" s="129"/>
      <c r="AH64" s="129"/>
      <c r="AI64" s="129"/>
      <c r="AJ64" s="129"/>
      <c r="AK64" s="129"/>
      <c r="AL64" s="129"/>
      <c r="AM64" s="129"/>
      <c r="AN64" s="129"/>
      <c r="AO64" s="129"/>
      <c r="AP64" s="129"/>
      <c r="AQ64" s="129"/>
      <c r="AR64" s="129"/>
      <c r="AS64" s="129"/>
      <c r="AT64" s="129"/>
      <c r="AU64" s="129"/>
      <c r="AV64" s="129"/>
      <c r="AW64" s="129"/>
      <c r="AX64" s="129"/>
      <c r="AY64" s="129"/>
      <c r="AZ64" s="129"/>
      <c r="BA64" s="129"/>
      <c r="BB64" s="129"/>
      <c r="BC64" s="129"/>
      <c r="BD64" s="129"/>
      <c r="BE64" s="129"/>
      <c r="BF64" s="129"/>
      <c r="BG64" s="129"/>
      <c r="BH64" s="129"/>
      <c r="BI64" s="129"/>
      <c r="BJ64" s="129"/>
      <c r="BK64" s="129"/>
      <c r="BL64" s="129"/>
      <c r="BM64" s="129"/>
      <c r="BN64" s="129"/>
      <c r="BO64" s="129"/>
      <c r="BP64" s="129"/>
      <c r="BQ64" s="129"/>
      <c r="BR64" s="129"/>
      <c r="BS64" s="129"/>
      <c r="BT64" s="129"/>
      <c r="BU64" s="129"/>
      <c r="BV64" s="129"/>
      <c r="BW64" s="129"/>
      <c r="BX64" s="129"/>
      <c r="BY64" s="129"/>
      <c r="BZ64" s="129"/>
      <c r="CA64" s="129"/>
      <c r="CB64" s="129"/>
      <c r="CC64" s="129"/>
      <c r="CD64" s="129"/>
      <c r="CE64" s="129"/>
      <c r="CF64" s="129"/>
      <c r="CG64" s="129"/>
      <c r="CH64" s="129"/>
      <c r="CI64" s="129"/>
      <c r="CJ64" s="129"/>
      <c r="CK64" s="129"/>
      <c r="CL64" s="129"/>
      <c r="CM64" s="129"/>
      <c r="CN64" s="129"/>
      <c r="CO64" s="129"/>
      <c r="CP64" s="129"/>
      <c r="CQ64" s="129"/>
      <c r="CR64" s="129"/>
      <c r="CS64" s="129"/>
      <c r="CT64" s="129"/>
    </row>
    <row r="65" spans="1:98" s="120" customFormat="1">
      <c r="A65" s="303">
        <v>34</v>
      </c>
      <c r="B65" s="307" t="s">
        <v>306</v>
      </c>
      <c r="C65" s="303">
        <v>1</v>
      </c>
      <c r="D65" s="305">
        <f>VLOOKUP(F65,'Produtos Grupo D'!A:F,6,0)*12</f>
        <v>6935.9812571260381</v>
      </c>
      <c r="E65" s="305">
        <f t="shared" si="7"/>
        <v>6935.9812571260381</v>
      </c>
      <c r="F65" s="304" t="str">
        <f t="shared" si="6"/>
        <v>valor mês produto 34</v>
      </c>
      <c r="G65" s="2"/>
      <c r="H65" s="129"/>
      <c r="I65" s="129"/>
      <c r="J65" s="129"/>
      <c r="K65" s="129"/>
      <c r="L65" s="129"/>
      <c r="M65" s="129"/>
      <c r="N65" s="129"/>
      <c r="O65" s="129"/>
      <c r="P65" s="129"/>
      <c r="Q65" s="129"/>
      <c r="R65" s="129"/>
      <c r="S65" s="129"/>
      <c r="T65" s="129"/>
      <c r="U65" s="129"/>
      <c r="V65" s="129"/>
      <c r="W65" s="129"/>
      <c r="X65" s="129"/>
      <c r="Y65" s="129"/>
      <c r="Z65" s="129"/>
      <c r="AA65" s="129"/>
      <c r="AB65" s="129"/>
      <c r="AC65" s="129"/>
      <c r="AD65" s="129"/>
      <c r="AE65" s="129"/>
      <c r="AF65" s="129"/>
      <c r="AG65" s="129"/>
      <c r="AH65" s="129"/>
      <c r="AI65" s="129"/>
      <c r="AJ65" s="129"/>
      <c r="AK65" s="129"/>
      <c r="AL65" s="129"/>
      <c r="AM65" s="129"/>
      <c r="AN65" s="129"/>
      <c r="AO65" s="129"/>
      <c r="AP65" s="129"/>
      <c r="AQ65" s="129"/>
      <c r="AR65" s="129"/>
      <c r="AS65" s="129"/>
      <c r="AT65" s="129"/>
      <c r="AU65" s="129"/>
      <c r="AV65" s="129"/>
      <c r="AW65" s="129"/>
      <c r="AX65" s="129"/>
      <c r="AY65" s="129"/>
      <c r="AZ65" s="129"/>
      <c r="BA65" s="129"/>
      <c r="BB65" s="129"/>
      <c r="BC65" s="129"/>
      <c r="BD65" s="129"/>
      <c r="BE65" s="129"/>
      <c r="BF65" s="129"/>
      <c r="BG65" s="129"/>
      <c r="BH65" s="129"/>
      <c r="BI65" s="129"/>
      <c r="BJ65" s="129"/>
      <c r="BK65" s="129"/>
      <c r="BL65" s="129"/>
      <c r="BM65" s="129"/>
      <c r="BN65" s="129"/>
      <c r="BO65" s="129"/>
      <c r="BP65" s="129"/>
      <c r="BQ65" s="129"/>
      <c r="BR65" s="129"/>
      <c r="BS65" s="129"/>
      <c r="BT65" s="129"/>
      <c r="BU65" s="129"/>
      <c r="BV65" s="129"/>
      <c r="BW65" s="129"/>
      <c r="BX65" s="129"/>
      <c r="BY65" s="129"/>
      <c r="BZ65" s="129"/>
      <c r="CA65" s="129"/>
      <c r="CB65" s="129"/>
      <c r="CC65" s="129"/>
      <c r="CD65" s="129"/>
      <c r="CE65" s="129"/>
      <c r="CF65" s="129"/>
      <c r="CG65" s="129"/>
      <c r="CH65" s="129"/>
      <c r="CI65" s="129"/>
      <c r="CJ65" s="129"/>
      <c r="CK65" s="129"/>
      <c r="CL65" s="129"/>
      <c r="CM65" s="129"/>
      <c r="CN65" s="129"/>
      <c r="CO65" s="129"/>
      <c r="CP65" s="129"/>
      <c r="CQ65" s="129"/>
      <c r="CR65" s="129"/>
      <c r="CS65" s="129"/>
      <c r="CT65" s="129"/>
    </row>
    <row r="66" spans="1:98" s="120" customFormat="1">
      <c r="B66" s="2"/>
      <c r="C66" s="3"/>
      <c r="D66" s="2"/>
      <c r="E66" s="306">
        <f>SUM(E51:E65)</f>
        <v>104039.7188568906</v>
      </c>
      <c r="F66" s="3"/>
      <c r="G66" s="2"/>
      <c r="H66" s="129"/>
      <c r="I66" s="129"/>
      <c r="J66" s="129"/>
      <c r="K66" s="129"/>
      <c r="L66" s="129"/>
      <c r="M66" s="129"/>
      <c r="N66" s="129"/>
      <c r="O66" s="129"/>
      <c r="P66" s="129"/>
      <c r="Q66" s="129"/>
      <c r="R66" s="129"/>
      <c r="S66" s="129"/>
      <c r="T66" s="129"/>
      <c r="U66" s="129"/>
      <c r="V66" s="129"/>
      <c r="W66" s="129"/>
      <c r="X66" s="129"/>
      <c r="Y66" s="129"/>
      <c r="Z66" s="129"/>
      <c r="AA66" s="129"/>
      <c r="AB66" s="129"/>
      <c r="AC66" s="129"/>
      <c r="AD66" s="129"/>
      <c r="AE66" s="129"/>
      <c r="AF66" s="129"/>
      <c r="AG66" s="129"/>
      <c r="AH66" s="129"/>
      <c r="AI66" s="129"/>
      <c r="AJ66" s="129"/>
      <c r="AK66" s="129"/>
      <c r="AL66" s="129"/>
      <c r="AM66" s="129"/>
      <c r="AN66" s="129"/>
      <c r="AO66" s="129"/>
      <c r="AP66" s="129"/>
      <c r="AQ66" s="129"/>
      <c r="AR66" s="129"/>
      <c r="AS66" s="129"/>
      <c r="AT66" s="129"/>
      <c r="AU66" s="129"/>
      <c r="AV66" s="129"/>
      <c r="AW66" s="129"/>
      <c r="AX66" s="129"/>
      <c r="AY66" s="129"/>
      <c r="AZ66" s="129"/>
      <c r="BA66" s="129"/>
      <c r="BB66" s="129"/>
      <c r="BC66" s="129"/>
      <c r="BD66" s="129"/>
      <c r="BE66" s="129"/>
      <c r="BF66" s="129"/>
      <c r="BG66" s="129"/>
      <c r="BH66" s="129"/>
      <c r="BI66" s="129"/>
      <c r="BJ66" s="129"/>
      <c r="BK66" s="129"/>
      <c r="BL66" s="129"/>
      <c r="BM66" s="129"/>
      <c r="BN66" s="129"/>
      <c r="BO66" s="129"/>
      <c r="BP66" s="129"/>
      <c r="BQ66" s="129"/>
      <c r="BR66" s="129"/>
      <c r="BS66" s="129"/>
      <c r="BT66" s="129"/>
      <c r="BU66" s="129"/>
      <c r="BV66" s="129"/>
      <c r="BW66" s="129"/>
      <c r="BX66" s="129"/>
      <c r="BY66" s="129"/>
      <c r="BZ66" s="129"/>
      <c r="CA66" s="129"/>
      <c r="CB66" s="129"/>
      <c r="CC66" s="129"/>
      <c r="CD66" s="129"/>
      <c r="CE66" s="129"/>
      <c r="CF66" s="129"/>
      <c r="CG66" s="129"/>
      <c r="CH66" s="129"/>
      <c r="CI66" s="129"/>
      <c r="CJ66" s="129"/>
      <c r="CK66" s="129"/>
      <c r="CL66" s="129"/>
      <c r="CM66" s="129"/>
      <c r="CN66" s="129"/>
      <c r="CO66" s="129"/>
      <c r="CP66" s="129"/>
      <c r="CQ66" s="129"/>
      <c r="CR66" s="129"/>
      <c r="CS66" s="129"/>
      <c r="CT66" s="129"/>
    </row>
    <row r="67" spans="1:98" s="120" customFormat="1">
      <c r="B67" s="2"/>
      <c r="C67" s="3"/>
      <c r="D67" s="2"/>
      <c r="E67" s="2"/>
      <c r="F67" s="3"/>
      <c r="G67" s="2"/>
      <c r="H67" s="129"/>
      <c r="I67" s="129"/>
      <c r="J67" s="129"/>
      <c r="K67" s="129"/>
      <c r="L67" s="129"/>
      <c r="M67" s="129"/>
      <c r="N67" s="129"/>
      <c r="O67" s="129"/>
      <c r="P67" s="129"/>
      <c r="Q67" s="129"/>
      <c r="R67" s="129"/>
      <c r="S67" s="129"/>
      <c r="T67" s="129"/>
      <c r="U67" s="129"/>
      <c r="V67" s="129"/>
      <c r="W67" s="129"/>
      <c r="X67" s="129"/>
      <c r="Y67" s="129"/>
      <c r="Z67" s="129"/>
      <c r="AA67" s="129"/>
      <c r="AB67" s="129"/>
      <c r="AC67" s="129"/>
      <c r="AD67" s="129"/>
      <c r="AE67" s="129"/>
      <c r="AF67" s="129"/>
      <c r="AG67" s="129"/>
      <c r="AH67" s="129"/>
      <c r="AI67" s="129"/>
      <c r="AJ67" s="129"/>
      <c r="AK67" s="129"/>
      <c r="AL67" s="129"/>
      <c r="AM67" s="129"/>
      <c r="AN67" s="129"/>
      <c r="AO67" s="129"/>
      <c r="AP67" s="129"/>
      <c r="AQ67" s="129"/>
      <c r="AR67" s="129"/>
      <c r="AS67" s="129"/>
      <c r="AT67" s="129"/>
      <c r="AU67" s="129"/>
      <c r="AV67" s="129"/>
      <c r="AW67" s="129"/>
      <c r="AX67" s="129"/>
      <c r="AY67" s="129"/>
      <c r="AZ67" s="129"/>
      <c r="BA67" s="129"/>
      <c r="BB67" s="129"/>
      <c r="BC67" s="129"/>
      <c r="BD67" s="129"/>
      <c r="BE67" s="129"/>
      <c r="BF67" s="129"/>
      <c r="BG67" s="129"/>
      <c r="BH67" s="129"/>
      <c r="BI67" s="129"/>
      <c r="BJ67" s="129"/>
      <c r="BK67" s="129"/>
      <c r="BL67" s="129"/>
      <c r="BM67" s="129"/>
      <c r="BN67" s="129"/>
      <c r="BO67" s="129"/>
      <c r="BP67" s="129"/>
      <c r="BQ67" s="129"/>
      <c r="BR67" s="129"/>
      <c r="BS67" s="129"/>
      <c r="BT67" s="129"/>
      <c r="BU67" s="129"/>
      <c r="BV67" s="129"/>
      <c r="BW67" s="129"/>
      <c r="BX67" s="129"/>
      <c r="BY67" s="129"/>
      <c r="BZ67" s="129"/>
      <c r="CA67" s="129"/>
      <c r="CB67" s="129"/>
      <c r="CC67" s="129"/>
      <c r="CD67" s="129"/>
      <c r="CE67" s="129"/>
      <c r="CF67" s="129"/>
      <c r="CG67" s="129"/>
      <c r="CH67" s="129"/>
      <c r="CI67" s="129"/>
      <c r="CJ67" s="129"/>
      <c r="CK67" s="129"/>
      <c r="CL67" s="129"/>
      <c r="CM67" s="129"/>
      <c r="CN67" s="129"/>
      <c r="CO67" s="129"/>
      <c r="CP67" s="129"/>
      <c r="CQ67" s="129"/>
      <c r="CR67" s="129"/>
      <c r="CS67" s="129"/>
      <c r="CT67" s="129"/>
    </row>
    <row r="68" spans="1:98" s="120" customFormat="1">
      <c r="B68" s="2"/>
      <c r="C68" s="3"/>
      <c r="D68" s="2"/>
      <c r="E68" s="2"/>
      <c r="F68" s="3"/>
      <c r="G68" s="2"/>
      <c r="H68" s="129"/>
      <c r="I68" s="129"/>
      <c r="J68" s="129"/>
      <c r="K68" s="129"/>
      <c r="L68" s="129"/>
      <c r="M68" s="129"/>
      <c r="N68" s="129"/>
      <c r="O68" s="129"/>
      <c r="P68" s="129"/>
      <c r="Q68" s="129"/>
      <c r="R68" s="129"/>
      <c r="S68" s="129"/>
      <c r="T68" s="129"/>
      <c r="U68" s="129"/>
      <c r="V68" s="129"/>
      <c r="W68" s="129"/>
      <c r="X68" s="129"/>
      <c r="Y68" s="129"/>
      <c r="Z68" s="129"/>
      <c r="AA68" s="129"/>
      <c r="AB68" s="129"/>
      <c r="AC68" s="129"/>
      <c r="AD68" s="129"/>
      <c r="AE68" s="129"/>
      <c r="AF68" s="129"/>
      <c r="AG68" s="129"/>
      <c r="AH68" s="129"/>
      <c r="AI68" s="129"/>
      <c r="AJ68" s="129"/>
      <c r="AK68" s="129"/>
      <c r="AL68" s="129"/>
      <c r="AM68" s="129"/>
      <c r="AN68" s="129"/>
      <c r="AO68" s="129"/>
      <c r="AP68" s="129"/>
      <c r="AQ68" s="129"/>
      <c r="AR68" s="129"/>
      <c r="AS68" s="129"/>
      <c r="AT68" s="129"/>
      <c r="AU68" s="129"/>
      <c r="AV68" s="129"/>
      <c r="AW68" s="129"/>
      <c r="AX68" s="129"/>
      <c r="AY68" s="129"/>
      <c r="AZ68" s="129"/>
      <c r="BA68" s="129"/>
      <c r="BB68" s="129"/>
      <c r="BC68" s="129"/>
      <c r="BD68" s="129"/>
      <c r="BE68" s="129"/>
      <c r="BF68" s="129"/>
      <c r="BG68" s="129"/>
      <c r="BH68" s="129"/>
      <c r="BI68" s="129"/>
      <c r="BJ68" s="129"/>
      <c r="BK68" s="129"/>
      <c r="BL68" s="129"/>
      <c r="BM68" s="129"/>
      <c r="BN68" s="129"/>
      <c r="BO68" s="129"/>
      <c r="BP68" s="129"/>
      <c r="BQ68" s="129"/>
      <c r="BR68" s="129"/>
      <c r="BS68" s="129"/>
      <c r="BT68" s="129"/>
      <c r="BU68" s="129"/>
      <c r="BV68" s="129"/>
      <c r="BW68" s="129"/>
      <c r="BX68" s="129"/>
      <c r="BY68" s="129"/>
      <c r="BZ68" s="129"/>
      <c r="CA68" s="129"/>
      <c r="CB68" s="129"/>
      <c r="CC68" s="129"/>
      <c r="CD68" s="129"/>
      <c r="CE68" s="129"/>
      <c r="CF68" s="129"/>
      <c r="CG68" s="129"/>
      <c r="CH68" s="129"/>
      <c r="CI68" s="129"/>
      <c r="CJ68" s="129"/>
      <c r="CK68" s="129"/>
      <c r="CL68" s="129"/>
      <c r="CM68" s="129"/>
      <c r="CN68" s="129"/>
      <c r="CO68" s="129"/>
      <c r="CP68" s="129"/>
      <c r="CQ68" s="129"/>
      <c r="CR68" s="129"/>
      <c r="CS68" s="129"/>
      <c r="CT68" s="129"/>
    </row>
    <row r="69" spans="1:98" s="120" customFormat="1">
      <c r="B69" s="2"/>
      <c r="C69" s="3"/>
      <c r="D69" s="2"/>
      <c r="E69" s="2"/>
      <c r="F69" s="3"/>
      <c r="G69" s="2"/>
      <c r="H69" s="129"/>
      <c r="I69" s="129"/>
      <c r="J69" s="129"/>
      <c r="K69" s="129"/>
      <c r="L69" s="129"/>
      <c r="M69" s="129"/>
      <c r="N69" s="129"/>
      <c r="O69" s="129"/>
      <c r="P69" s="129"/>
      <c r="Q69" s="129"/>
      <c r="R69" s="129"/>
      <c r="S69" s="129"/>
      <c r="T69" s="129"/>
      <c r="U69" s="129"/>
      <c r="V69" s="129"/>
      <c r="W69" s="129"/>
      <c r="X69" s="129"/>
      <c r="Y69" s="129"/>
      <c r="Z69" s="129"/>
      <c r="AA69" s="129"/>
      <c r="AB69" s="129"/>
      <c r="AC69" s="129"/>
      <c r="AD69" s="129"/>
      <c r="AE69" s="129"/>
      <c r="AF69" s="129"/>
      <c r="AG69" s="129"/>
      <c r="AH69" s="129"/>
      <c r="AI69" s="129"/>
      <c r="AJ69" s="129"/>
      <c r="AK69" s="129"/>
      <c r="AL69" s="129"/>
      <c r="AM69" s="129"/>
      <c r="AN69" s="129"/>
      <c r="AO69" s="129"/>
      <c r="AP69" s="129"/>
      <c r="AQ69" s="129"/>
      <c r="AR69" s="129"/>
      <c r="AS69" s="129"/>
      <c r="AT69" s="129"/>
      <c r="AU69" s="129"/>
      <c r="AV69" s="129"/>
      <c r="AW69" s="129"/>
      <c r="AX69" s="129"/>
      <c r="AY69" s="129"/>
      <c r="AZ69" s="129"/>
      <c r="BA69" s="129"/>
      <c r="BB69" s="129"/>
      <c r="BC69" s="129"/>
      <c r="BD69" s="129"/>
      <c r="BE69" s="129"/>
      <c r="BF69" s="129"/>
      <c r="BG69" s="129"/>
      <c r="BH69" s="129"/>
      <c r="BI69" s="129"/>
      <c r="BJ69" s="129"/>
      <c r="BK69" s="129"/>
      <c r="BL69" s="129"/>
      <c r="BM69" s="129"/>
      <c r="BN69" s="129"/>
      <c r="BO69" s="129"/>
      <c r="BP69" s="129"/>
      <c r="BQ69" s="129"/>
      <c r="BR69" s="129"/>
      <c r="BS69" s="129"/>
      <c r="BT69" s="129"/>
      <c r="BU69" s="129"/>
      <c r="BV69" s="129"/>
      <c r="BW69" s="129"/>
      <c r="BX69" s="129"/>
      <c r="BY69" s="129"/>
      <c r="BZ69" s="129"/>
      <c r="CA69" s="129"/>
      <c r="CB69" s="129"/>
      <c r="CC69" s="129"/>
      <c r="CD69" s="129"/>
      <c r="CE69" s="129"/>
      <c r="CF69" s="129"/>
      <c r="CG69" s="129"/>
      <c r="CH69" s="129"/>
      <c r="CI69" s="129"/>
      <c r="CJ69" s="129"/>
      <c r="CK69" s="129"/>
      <c r="CL69" s="129"/>
      <c r="CM69" s="129"/>
      <c r="CN69" s="129"/>
      <c r="CO69" s="129"/>
      <c r="CP69" s="129"/>
      <c r="CQ69" s="129"/>
      <c r="CR69" s="129"/>
      <c r="CS69" s="129"/>
      <c r="CT69" s="129"/>
    </row>
    <row r="70" spans="1:98" s="120" customFormat="1">
      <c r="B70" s="2"/>
      <c r="C70" s="3"/>
      <c r="D70" s="2"/>
      <c r="E70" s="2"/>
      <c r="F70" s="3"/>
      <c r="G70" s="2"/>
      <c r="H70" s="129"/>
      <c r="I70" s="129"/>
      <c r="J70" s="129"/>
      <c r="K70" s="129"/>
      <c r="L70" s="129"/>
      <c r="M70" s="129"/>
      <c r="N70" s="129"/>
      <c r="O70" s="129"/>
      <c r="P70" s="129"/>
      <c r="Q70" s="129"/>
      <c r="R70" s="129"/>
      <c r="S70" s="129"/>
      <c r="T70" s="129"/>
      <c r="U70" s="129"/>
      <c r="V70" s="129"/>
      <c r="W70" s="129"/>
      <c r="X70" s="129"/>
      <c r="Y70" s="129"/>
      <c r="Z70" s="129"/>
      <c r="AA70" s="129"/>
      <c r="AB70" s="129"/>
      <c r="AC70" s="129"/>
      <c r="AD70" s="129"/>
      <c r="AE70" s="129"/>
      <c r="AF70" s="129"/>
      <c r="AG70" s="129"/>
      <c r="AH70" s="129"/>
      <c r="AI70" s="129"/>
      <c r="AJ70" s="129"/>
      <c r="AK70" s="129"/>
      <c r="AL70" s="129"/>
      <c r="AM70" s="129"/>
      <c r="AN70" s="129"/>
      <c r="AO70" s="129"/>
      <c r="AP70" s="129"/>
      <c r="AQ70" s="129"/>
      <c r="AR70" s="129"/>
      <c r="AS70" s="129"/>
      <c r="AT70" s="129"/>
      <c r="AU70" s="129"/>
      <c r="AV70" s="129"/>
      <c r="AW70" s="129"/>
      <c r="AX70" s="129"/>
      <c r="AY70" s="129"/>
      <c r="AZ70" s="129"/>
      <c r="BA70" s="129"/>
      <c r="BB70" s="129"/>
      <c r="BC70" s="129"/>
      <c r="BD70" s="129"/>
      <c r="BE70" s="129"/>
      <c r="BF70" s="129"/>
      <c r="BG70" s="129"/>
      <c r="BH70" s="129"/>
      <c r="BI70" s="129"/>
      <c r="BJ70" s="129"/>
      <c r="BK70" s="129"/>
      <c r="BL70" s="129"/>
      <c r="BM70" s="129"/>
      <c r="BN70" s="129"/>
      <c r="BO70" s="129"/>
      <c r="BP70" s="129"/>
      <c r="BQ70" s="129"/>
      <c r="BR70" s="129"/>
      <c r="BS70" s="129"/>
      <c r="BT70" s="129"/>
      <c r="BU70" s="129"/>
      <c r="BV70" s="129"/>
      <c r="BW70" s="129"/>
      <c r="BX70" s="129"/>
      <c r="BY70" s="129"/>
      <c r="BZ70" s="129"/>
      <c r="CA70" s="129"/>
      <c r="CB70" s="129"/>
      <c r="CC70" s="129"/>
      <c r="CD70" s="129"/>
      <c r="CE70" s="129"/>
      <c r="CF70" s="129"/>
      <c r="CG70" s="129"/>
      <c r="CH70" s="129"/>
      <c r="CI70" s="129"/>
      <c r="CJ70" s="129"/>
      <c r="CK70" s="129"/>
      <c r="CL70" s="129"/>
      <c r="CM70" s="129"/>
      <c r="CN70" s="129"/>
      <c r="CO70" s="129"/>
      <c r="CP70" s="129"/>
      <c r="CQ70" s="129"/>
      <c r="CR70" s="129"/>
      <c r="CS70" s="129"/>
      <c r="CT70" s="129"/>
    </row>
    <row r="71" spans="1:98" s="120" customFormat="1">
      <c r="B71" s="2"/>
      <c r="C71" s="3"/>
      <c r="D71" s="2"/>
      <c r="E71" s="2"/>
      <c r="F71" s="3"/>
      <c r="G71" s="2"/>
      <c r="H71" s="129"/>
      <c r="I71" s="129"/>
      <c r="J71" s="129"/>
      <c r="K71" s="129"/>
      <c r="L71" s="129"/>
      <c r="M71" s="129"/>
      <c r="N71" s="129"/>
      <c r="O71" s="129"/>
      <c r="P71" s="129"/>
      <c r="Q71" s="129"/>
      <c r="R71" s="129"/>
      <c r="S71" s="129"/>
      <c r="T71" s="129"/>
      <c r="U71" s="129"/>
      <c r="V71" s="129"/>
      <c r="W71" s="129"/>
      <c r="X71" s="129"/>
      <c r="Y71" s="129"/>
      <c r="Z71" s="129"/>
      <c r="AA71" s="129"/>
      <c r="AB71" s="129"/>
      <c r="AC71" s="129"/>
      <c r="AD71" s="129"/>
      <c r="AE71" s="129"/>
      <c r="AF71" s="129"/>
      <c r="AG71" s="129"/>
      <c r="AH71" s="129"/>
      <c r="AI71" s="129"/>
      <c r="AJ71" s="129"/>
      <c r="AK71" s="129"/>
      <c r="AL71" s="129"/>
      <c r="AM71" s="129"/>
      <c r="AN71" s="129"/>
      <c r="AO71" s="129"/>
      <c r="AP71" s="129"/>
      <c r="AQ71" s="129"/>
      <c r="AR71" s="129"/>
      <c r="AS71" s="129"/>
      <c r="AT71" s="129"/>
      <c r="AU71" s="129"/>
      <c r="AV71" s="129"/>
      <c r="AW71" s="129"/>
      <c r="AX71" s="129"/>
      <c r="AY71" s="129"/>
      <c r="AZ71" s="129"/>
      <c r="BA71" s="129"/>
      <c r="BB71" s="129"/>
      <c r="BC71" s="129"/>
      <c r="BD71" s="129"/>
      <c r="BE71" s="129"/>
      <c r="BF71" s="129"/>
      <c r="BG71" s="129"/>
      <c r="BH71" s="129"/>
      <c r="BI71" s="129"/>
      <c r="BJ71" s="129"/>
      <c r="BK71" s="129"/>
      <c r="BL71" s="129"/>
      <c r="BM71" s="129"/>
      <c r="BN71" s="129"/>
      <c r="BO71" s="129"/>
      <c r="BP71" s="129"/>
      <c r="BQ71" s="129"/>
      <c r="BR71" s="129"/>
      <c r="BS71" s="129"/>
      <c r="BT71" s="129"/>
      <c r="BU71" s="129"/>
      <c r="BV71" s="129"/>
      <c r="BW71" s="129"/>
      <c r="BX71" s="129"/>
      <c r="BY71" s="129"/>
      <c r="BZ71" s="129"/>
      <c r="CA71" s="129"/>
      <c r="CB71" s="129"/>
      <c r="CC71" s="129"/>
      <c r="CD71" s="129"/>
      <c r="CE71" s="129"/>
      <c r="CF71" s="129"/>
      <c r="CG71" s="129"/>
      <c r="CH71" s="129"/>
      <c r="CI71" s="129"/>
      <c r="CJ71" s="129"/>
      <c r="CK71" s="129"/>
      <c r="CL71" s="129"/>
      <c r="CM71" s="129"/>
      <c r="CN71" s="129"/>
      <c r="CO71" s="129"/>
      <c r="CP71" s="129"/>
      <c r="CQ71" s="129"/>
      <c r="CR71" s="129"/>
      <c r="CS71" s="129"/>
      <c r="CT71" s="129"/>
    </row>
    <row r="72" spans="1:98" s="120" customFormat="1">
      <c r="B72" s="2"/>
      <c r="C72" s="3"/>
      <c r="D72" s="2"/>
      <c r="E72" s="2"/>
      <c r="F72" s="3"/>
      <c r="G72" s="2"/>
      <c r="H72" s="129"/>
      <c r="I72" s="129"/>
      <c r="J72" s="129"/>
      <c r="K72" s="129"/>
      <c r="L72" s="129"/>
      <c r="M72" s="129"/>
      <c r="N72" s="129"/>
      <c r="O72" s="129"/>
      <c r="P72" s="129"/>
      <c r="Q72" s="129"/>
      <c r="R72" s="129"/>
      <c r="S72" s="129"/>
      <c r="T72" s="129"/>
      <c r="U72" s="129"/>
      <c r="V72" s="129"/>
      <c r="W72" s="129"/>
      <c r="X72" s="129"/>
      <c r="Y72" s="129"/>
      <c r="Z72" s="129"/>
      <c r="AA72" s="129"/>
      <c r="AB72" s="129"/>
      <c r="AC72" s="129"/>
      <c r="AD72" s="129"/>
      <c r="AE72" s="129"/>
      <c r="AF72" s="129"/>
      <c r="AG72" s="129"/>
      <c r="AH72" s="129"/>
      <c r="AI72" s="129"/>
      <c r="AJ72" s="129"/>
      <c r="AK72" s="129"/>
      <c r="AL72" s="129"/>
      <c r="AM72" s="129"/>
      <c r="AN72" s="129"/>
      <c r="AO72" s="129"/>
      <c r="AP72" s="129"/>
      <c r="AQ72" s="129"/>
      <c r="AR72" s="129"/>
      <c r="AS72" s="129"/>
      <c r="AT72" s="129"/>
      <c r="AU72" s="129"/>
      <c r="AV72" s="129"/>
      <c r="AW72" s="129"/>
      <c r="AX72" s="129"/>
      <c r="AY72" s="129"/>
      <c r="AZ72" s="129"/>
      <c r="BA72" s="129"/>
      <c r="BB72" s="129"/>
      <c r="BC72" s="129"/>
      <c r="BD72" s="129"/>
      <c r="BE72" s="129"/>
      <c r="BF72" s="129"/>
      <c r="BG72" s="129"/>
      <c r="BH72" s="129"/>
      <c r="BI72" s="129"/>
      <c r="BJ72" s="129"/>
      <c r="BK72" s="129"/>
      <c r="BL72" s="129"/>
      <c r="BM72" s="129"/>
      <c r="BN72" s="129"/>
      <c r="BO72" s="129"/>
      <c r="BP72" s="129"/>
      <c r="BQ72" s="129"/>
      <c r="BR72" s="129"/>
      <c r="BS72" s="129"/>
      <c r="BT72" s="129"/>
      <c r="BU72" s="129"/>
      <c r="BV72" s="129"/>
      <c r="BW72" s="129"/>
      <c r="BX72" s="129"/>
      <c r="BY72" s="129"/>
      <c r="BZ72" s="129"/>
      <c r="CA72" s="129"/>
      <c r="CB72" s="129"/>
      <c r="CC72" s="129"/>
      <c r="CD72" s="129"/>
      <c r="CE72" s="129"/>
      <c r="CF72" s="129"/>
      <c r="CG72" s="129"/>
      <c r="CH72" s="129"/>
      <c r="CI72" s="129"/>
      <c r="CJ72" s="129"/>
      <c r="CK72" s="129"/>
      <c r="CL72" s="129"/>
      <c r="CM72" s="129"/>
      <c r="CN72" s="129"/>
      <c r="CO72" s="129"/>
      <c r="CP72" s="129"/>
      <c r="CQ72" s="129"/>
      <c r="CR72" s="129"/>
      <c r="CS72" s="129"/>
      <c r="CT72" s="129"/>
    </row>
    <row r="73" spans="1:98" s="120" customFormat="1">
      <c r="B73" s="2"/>
      <c r="C73" s="3"/>
      <c r="D73" s="2"/>
      <c r="E73" s="2"/>
      <c r="F73" s="3"/>
      <c r="G73" s="2"/>
      <c r="H73" s="129"/>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29"/>
      <c r="AK73" s="129"/>
      <c r="AL73" s="129"/>
      <c r="AM73" s="129"/>
      <c r="AN73" s="129"/>
      <c r="AO73" s="129"/>
      <c r="AP73" s="129"/>
      <c r="AQ73" s="129"/>
      <c r="AR73" s="129"/>
      <c r="AS73" s="129"/>
      <c r="AT73" s="129"/>
      <c r="AU73" s="129"/>
      <c r="AV73" s="129"/>
      <c r="AW73" s="129"/>
      <c r="AX73" s="129"/>
      <c r="AY73" s="129"/>
      <c r="AZ73" s="129"/>
      <c r="BA73" s="129"/>
      <c r="BB73" s="129"/>
      <c r="BC73" s="129"/>
      <c r="BD73" s="129"/>
      <c r="BE73" s="129"/>
      <c r="BF73" s="129"/>
      <c r="BG73" s="129"/>
      <c r="BH73" s="129"/>
      <c r="BI73" s="129"/>
      <c r="BJ73" s="129"/>
      <c r="BK73" s="129"/>
      <c r="BL73" s="129"/>
      <c r="BM73" s="129"/>
      <c r="BN73" s="129"/>
      <c r="BO73" s="129"/>
      <c r="BP73" s="129"/>
      <c r="BQ73" s="129"/>
      <c r="BR73" s="129"/>
      <c r="BS73" s="129"/>
      <c r="BT73" s="129"/>
      <c r="BU73" s="129"/>
      <c r="BV73" s="129"/>
      <c r="BW73" s="129"/>
      <c r="BX73" s="129"/>
      <c r="BY73" s="129"/>
      <c r="BZ73" s="129"/>
      <c r="CA73" s="129"/>
      <c r="CB73" s="129"/>
      <c r="CC73" s="129"/>
      <c r="CD73" s="129"/>
      <c r="CE73" s="129"/>
      <c r="CF73" s="129"/>
      <c r="CG73" s="129"/>
      <c r="CH73" s="129"/>
      <c r="CI73" s="129"/>
      <c r="CJ73" s="129"/>
      <c r="CK73" s="129"/>
      <c r="CL73" s="129"/>
      <c r="CM73" s="129"/>
      <c r="CN73" s="129"/>
      <c r="CO73" s="129"/>
      <c r="CP73" s="129"/>
      <c r="CQ73" s="129"/>
      <c r="CR73" s="129"/>
      <c r="CS73" s="129"/>
      <c r="CT73" s="129"/>
    </row>
    <row r="74" spans="1:98" s="120" customFormat="1">
      <c r="B74" s="2"/>
      <c r="C74" s="3"/>
      <c r="D74" s="2"/>
      <c r="E74" s="2"/>
      <c r="F74" s="3"/>
      <c r="G74" s="2"/>
      <c r="H74" s="129"/>
      <c r="I74" s="129"/>
      <c r="J74" s="129"/>
      <c r="K74" s="129"/>
      <c r="L74" s="129"/>
      <c r="M74" s="129"/>
      <c r="N74" s="129"/>
      <c r="O74" s="129"/>
      <c r="P74" s="129"/>
      <c r="Q74" s="129"/>
      <c r="R74" s="129"/>
      <c r="S74" s="129"/>
      <c r="T74" s="129"/>
      <c r="U74" s="129"/>
      <c r="V74" s="129"/>
      <c r="W74" s="129"/>
      <c r="X74" s="129"/>
      <c r="Y74" s="129"/>
      <c r="Z74" s="129"/>
      <c r="AA74" s="129"/>
      <c r="AB74" s="129"/>
      <c r="AC74" s="129"/>
      <c r="AD74" s="129"/>
      <c r="AE74" s="129"/>
      <c r="AF74" s="129"/>
      <c r="AG74" s="129"/>
      <c r="AH74" s="129"/>
      <c r="AI74" s="129"/>
      <c r="AJ74" s="129"/>
      <c r="AK74" s="129"/>
      <c r="AL74" s="129"/>
      <c r="AM74" s="129"/>
      <c r="AN74" s="129"/>
      <c r="AO74" s="129"/>
      <c r="AP74" s="129"/>
      <c r="AQ74" s="129"/>
      <c r="AR74" s="129"/>
      <c r="AS74" s="129"/>
      <c r="AT74" s="129"/>
      <c r="AU74" s="129"/>
      <c r="AV74" s="129"/>
      <c r="AW74" s="129"/>
      <c r="AX74" s="129"/>
      <c r="AY74" s="129"/>
      <c r="AZ74" s="129"/>
      <c r="BA74" s="129"/>
      <c r="BB74" s="129"/>
      <c r="BC74" s="129"/>
      <c r="BD74" s="129"/>
      <c r="BE74" s="129"/>
      <c r="BF74" s="129"/>
      <c r="BG74" s="129"/>
      <c r="BH74" s="129"/>
      <c r="BI74" s="129"/>
      <c r="BJ74" s="129"/>
      <c r="BK74" s="129"/>
      <c r="BL74" s="129"/>
      <c r="BM74" s="129"/>
      <c r="BN74" s="129"/>
      <c r="BO74" s="129"/>
      <c r="BP74" s="129"/>
      <c r="BQ74" s="129"/>
      <c r="BR74" s="129"/>
      <c r="BS74" s="129"/>
      <c r="BT74" s="129"/>
      <c r="BU74" s="129"/>
      <c r="BV74" s="129"/>
      <c r="BW74" s="129"/>
      <c r="BX74" s="129"/>
      <c r="BY74" s="129"/>
      <c r="BZ74" s="129"/>
      <c r="CA74" s="129"/>
      <c r="CB74" s="129"/>
      <c r="CC74" s="129"/>
      <c r="CD74" s="129"/>
      <c r="CE74" s="129"/>
      <c r="CF74" s="129"/>
      <c r="CG74" s="129"/>
      <c r="CH74" s="129"/>
      <c r="CI74" s="129"/>
      <c r="CJ74" s="129"/>
      <c r="CK74" s="129"/>
      <c r="CL74" s="129"/>
      <c r="CM74" s="129"/>
      <c r="CN74" s="129"/>
      <c r="CO74" s="129"/>
      <c r="CP74" s="129"/>
      <c r="CQ74" s="129"/>
      <c r="CR74" s="129"/>
      <c r="CS74" s="129"/>
      <c r="CT74" s="129"/>
    </row>
    <row r="75" spans="1:98" s="120" customFormat="1">
      <c r="B75" s="2"/>
      <c r="C75" s="3"/>
      <c r="D75" s="2"/>
      <c r="E75" s="2"/>
      <c r="F75" s="3"/>
      <c r="G75" s="2"/>
      <c r="H75" s="129"/>
      <c r="I75" s="129"/>
      <c r="J75" s="129"/>
      <c r="K75" s="129"/>
      <c r="L75" s="129"/>
      <c r="M75" s="129"/>
      <c r="N75" s="129"/>
      <c r="O75" s="129"/>
      <c r="P75" s="129"/>
      <c r="Q75" s="129"/>
      <c r="R75" s="129"/>
      <c r="S75" s="129"/>
      <c r="T75" s="129"/>
      <c r="U75" s="129"/>
      <c r="V75" s="129"/>
      <c r="W75" s="129"/>
      <c r="X75" s="129"/>
      <c r="Y75" s="129"/>
      <c r="Z75" s="129"/>
      <c r="AA75" s="129"/>
      <c r="AB75" s="129"/>
      <c r="AC75" s="129"/>
      <c r="AD75" s="129"/>
      <c r="AE75" s="129"/>
      <c r="AF75" s="129"/>
      <c r="AG75" s="129"/>
      <c r="AH75" s="129"/>
      <c r="AI75" s="129"/>
      <c r="AJ75" s="129"/>
      <c r="AK75" s="129"/>
      <c r="AL75" s="129"/>
      <c r="AM75" s="129"/>
      <c r="AN75" s="129"/>
      <c r="AO75" s="129"/>
      <c r="AP75" s="129"/>
      <c r="AQ75" s="129"/>
      <c r="AR75" s="129"/>
      <c r="AS75" s="129"/>
      <c r="AT75" s="129"/>
      <c r="AU75" s="129"/>
      <c r="AV75" s="129"/>
      <c r="AW75" s="129"/>
      <c r="AX75" s="129"/>
      <c r="AY75" s="129"/>
      <c r="AZ75" s="129"/>
      <c r="BA75" s="129"/>
      <c r="BB75" s="129"/>
      <c r="BC75" s="129"/>
      <c r="BD75" s="129"/>
      <c r="BE75" s="129"/>
      <c r="BF75" s="129"/>
      <c r="BG75" s="129"/>
      <c r="BH75" s="129"/>
      <c r="BI75" s="129"/>
      <c r="BJ75" s="129"/>
      <c r="BK75" s="129"/>
      <c r="BL75" s="129"/>
      <c r="BM75" s="129"/>
      <c r="BN75" s="129"/>
      <c r="BO75" s="129"/>
      <c r="BP75" s="129"/>
      <c r="BQ75" s="129"/>
      <c r="BR75" s="129"/>
      <c r="BS75" s="129"/>
      <c r="BT75" s="129"/>
      <c r="BU75" s="129"/>
      <c r="BV75" s="129"/>
      <c r="BW75" s="129"/>
      <c r="BX75" s="129"/>
      <c r="BY75" s="129"/>
      <c r="BZ75" s="129"/>
      <c r="CA75" s="129"/>
      <c r="CB75" s="129"/>
      <c r="CC75" s="129"/>
      <c r="CD75" s="129"/>
      <c r="CE75" s="129"/>
      <c r="CF75" s="129"/>
      <c r="CG75" s="129"/>
      <c r="CH75" s="129"/>
      <c r="CI75" s="129"/>
      <c r="CJ75" s="129"/>
      <c r="CK75" s="129"/>
      <c r="CL75" s="129"/>
      <c r="CM75" s="129"/>
      <c r="CN75" s="129"/>
      <c r="CO75" s="129"/>
      <c r="CP75" s="129"/>
      <c r="CQ75" s="129"/>
      <c r="CR75" s="129"/>
      <c r="CS75" s="129"/>
      <c r="CT75" s="129"/>
    </row>
    <row r="76" spans="1:98" s="120" customFormat="1">
      <c r="B76" s="2"/>
      <c r="C76" s="3"/>
      <c r="D76" s="2"/>
      <c r="E76" s="2"/>
      <c r="F76" s="3"/>
      <c r="G76" s="2"/>
      <c r="H76" s="129"/>
      <c r="I76" s="129"/>
      <c r="J76" s="129"/>
      <c r="K76" s="129"/>
      <c r="L76" s="129"/>
      <c r="M76" s="129"/>
      <c r="N76" s="129"/>
      <c r="O76" s="129"/>
      <c r="P76" s="129"/>
      <c r="Q76" s="129"/>
      <c r="R76" s="129"/>
      <c r="S76" s="129"/>
      <c r="T76" s="129"/>
      <c r="U76" s="129"/>
      <c r="V76" s="129"/>
      <c r="W76" s="129"/>
      <c r="X76" s="129"/>
      <c r="Y76" s="129"/>
      <c r="Z76" s="129"/>
      <c r="AA76" s="129"/>
      <c r="AB76" s="129"/>
      <c r="AC76" s="129"/>
      <c r="AD76" s="129"/>
      <c r="AE76" s="129"/>
      <c r="AF76" s="129"/>
      <c r="AG76" s="129"/>
      <c r="AH76" s="129"/>
      <c r="AI76" s="129"/>
      <c r="AJ76" s="129"/>
      <c r="AK76" s="129"/>
      <c r="AL76" s="129"/>
      <c r="AM76" s="129"/>
      <c r="AN76" s="129"/>
      <c r="AO76" s="129"/>
      <c r="AP76" s="129"/>
      <c r="AQ76" s="129"/>
      <c r="AR76" s="129"/>
      <c r="AS76" s="129"/>
      <c r="AT76" s="129"/>
      <c r="AU76" s="129"/>
      <c r="AV76" s="129"/>
      <c r="AW76" s="129"/>
      <c r="AX76" s="129"/>
      <c r="AY76" s="129"/>
      <c r="AZ76" s="129"/>
      <c r="BA76" s="129"/>
      <c r="BB76" s="129"/>
      <c r="BC76" s="129"/>
      <c r="BD76" s="129"/>
      <c r="BE76" s="129"/>
      <c r="BF76" s="129"/>
      <c r="BG76" s="129"/>
      <c r="BH76" s="129"/>
      <c r="BI76" s="129"/>
      <c r="BJ76" s="129"/>
      <c r="BK76" s="129"/>
      <c r="BL76" s="129"/>
      <c r="BM76" s="129"/>
      <c r="BN76" s="129"/>
      <c r="BO76" s="129"/>
      <c r="BP76" s="129"/>
      <c r="BQ76" s="129"/>
      <c r="BR76" s="129"/>
      <c r="BS76" s="129"/>
      <c r="BT76" s="129"/>
      <c r="BU76" s="129"/>
      <c r="BV76" s="129"/>
      <c r="BW76" s="129"/>
      <c r="BX76" s="129"/>
      <c r="BY76" s="129"/>
      <c r="BZ76" s="129"/>
      <c r="CA76" s="129"/>
      <c r="CB76" s="129"/>
      <c r="CC76" s="129"/>
      <c r="CD76" s="129"/>
      <c r="CE76" s="129"/>
      <c r="CF76" s="129"/>
      <c r="CG76" s="129"/>
      <c r="CH76" s="129"/>
      <c r="CI76" s="129"/>
      <c r="CJ76" s="129"/>
      <c r="CK76" s="129"/>
      <c r="CL76" s="129"/>
      <c r="CM76" s="129"/>
      <c r="CN76" s="129"/>
      <c r="CO76" s="129"/>
      <c r="CP76" s="129"/>
      <c r="CQ76" s="129"/>
      <c r="CR76" s="129"/>
      <c r="CS76" s="129"/>
      <c r="CT76" s="129"/>
    </row>
    <row r="77" spans="1:98" s="120" customFormat="1">
      <c r="B77" s="2"/>
      <c r="C77" s="3"/>
      <c r="D77" s="2"/>
      <c r="E77" s="2"/>
      <c r="F77" s="3"/>
      <c r="G77" s="2"/>
      <c r="H77" s="129"/>
      <c r="I77" s="129"/>
      <c r="J77" s="129"/>
      <c r="K77" s="129"/>
      <c r="L77" s="129"/>
      <c r="M77" s="129"/>
      <c r="N77" s="129"/>
      <c r="O77" s="129"/>
      <c r="P77" s="129"/>
      <c r="Q77" s="129"/>
      <c r="R77" s="129"/>
      <c r="S77" s="129"/>
      <c r="T77" s="129"/>
      <c r="U77" s="129"/>
      <c r="V77" s="129"/>
      <c r="W77" s="129"/>
      <c r="X77" s="129"/>
      <c r="Y77" s="129"/>
      <c r="Z77" s="129"/>
      <c r="AA77" s="129"/>
      <c r="AB77" s="129"/>
      <c r="AC77" s="129"/>
      <c r="AD77" s="129"/>
      <c r="AE77" s="129"/>
      <c r="AF77" s="129"/>
      <c r="AG77" s="129"/>
      <c r="AH77" s="129"/>
      <c r="AI77" s="129"/>
      <c r="AJ77" s="129"/>
      <c r="AK77" s="129"/>
      <c r="AL77" s="129"/>
      <c r="AM77" s="129"/>
      <c r="AN77" s="129"/>
      <c r="AO77" s="129"/>
      <c r="AP77" s="129"/>
      <c r="AQ77" s="129"/>
      <c r="AR77" s="129"/>
      <c r="AS77" s="129"/>
      <c r="AT77" s="129"/>
      <c r="AU77" s="129"/>
      <c r="AV77" s="129"/>
      <c r="AW77" s="129"/>
      <c r="AX77" s="129"/>
      <c r="AY77" s="129"/>
      <c r="AZ77" s="129"/>
      <c r="BA77" s="129"/>
      <c r="BB77" s="129"/>
      <c r="BC77" s="129"/>
      <c r="BD77" s="129"/>
      <c r="BE77" s="129"/>
      <c r="BF77" s="129"/>
      <c r="BG77" s="129"/>
      <c r="BH77" s="129"/>
      <c r="BI77" s="129"/>
      <c r="BJ77" s="129"/>
      <c r="BK77" s="129"/>
      <c r="BL77" s="129"/>
      <c r="BM77" s="129"/>
      <c r="BN77" s="129"/>
      <c r="BO77" s="129"/>
      <c r="BP77" s="129"/>
      <c r="BQ77" s="129"/>
      <c r="BR77" s="129"/>
      <c r="BS77" s="129"/>
      <c r="BT77" s="129"/>
      <c r="BU77" s="129"/>
      <c r="BV77" s="129"/>
      <c r="BW77" s="129"/>
      <c r="BX77" s="129"/>
      <c r="BY77" s="129"/>
      <c r="BZ77" s="129"/>
      <c r="CA77" s="129"/>
      <c r="CB77" s="129"/>
      <c r="CC77" s="129"/>
      <c r="CD77" s="129"/>
      <c r="CE77" s="129"/>
      <c r="CF77" s="129"/>
      <c r="CG77" s="129"/>
      <c r="CH77" s="129"/>
      <c r="CI77" s="129"/>
      <c r="CJ77" s="129"/>
      <c r="CK77" s="129"/>
      <c r="CL77" s="129"/>
      <c r="CM77" s="129"/>
      <c r="CN77" s="129"/>
      <c r="CO77" s="129"/>
      <c r="CP77" s="129"/>
      <c r="CQ77" s="129"/>
      <c r="CR77" s="129"/>
      <c r="CS77" s="129"/>
      <c r="CT77" s="129"/>
    </row>
    <row r="78" spans="1:98" s="120" customFormat="1">
      <c r="B78" s="2"/>
      <c r="C78" s="3"/>
      <c r="D78" s="2"/>
      <c r="E78" s="2"/>
      <c r="F78" s="3"/>
      <c r="G78" s="2"/>
      <c r="H78" s="129"/>
      <c r="I78" s="129"/>
      <c r="J78" s="129"/>
      <c r="K78" s="129"/>
      <c r="L78" s="129"/>
      <c r="M78" s="129"/>
      <c r="N78" s="129"/>
      <c r="O78" s="129"/>
      <c r="P78" s="129"/>
      <c r="Q78" s="129"/>
      <c r="R78" s="129"/>
      <c r="S78" s="129"/>
      <c r="T78" s="129"/>
      <c r="U78" s="129"/>
      <c r="V78" s="129"/>
      <c r="W78" s="129"/>
      <c r="X78" s="129"/>
      <c r="Y78" s="129"/>
      <c r="Z78" s="129"/>
      <c r="AA78" s="129"/>
      <c r="AB78" s="129"/>
      <c r="AC78" s="129"/>
      <c r="AD78" s="129"/>
      <c r="AE78" s="129"/>
      <c r="AF78" s="129"/>
      <c r="AG78" s="129"/>
      <c r="AH78" s="129"/>
      <c r="AI78" s="129"/>
      <c r="AJ78" s="129"/>
      <c r="AK78" s="129"/>
      <c r="AL78" s="129"/>
      <c r="AM78" s="129"/>
      <c r="AN78" s="129"/>
      <c r="AO78" s="129"/>
      <c r="AP78" s="129"/>
      <c r="AQ78" s="129"/>
      <c r="AR78" s="129"/>
      <c r="AS78" s="129"/>
      <c r="AT78" s="129"/>
      <c r="AU78" s="129"/>
      <c r="AV78" s="129"/>
      <c r="AW78" s="129"/>
      <c r="AX78" s="129"/>
      <c r="AY78" s="129"/>
      <c r="AZ78" s="129"/>
      <c r="BA78" s="129"/>
      <c r="BB78" s="129"/>
      <c r="BC78" s="129"/>
      <c r="BD78" s="129"/>
      <c r="BE78" s="129"/>
      <c r="BF78" s="129"/>
      <c r="BG78" s="129"/>
      <c r="BH78" s="129"/>
      <c r="BI78" s="129"/>
      <c r="BJ78" s="129"/>
      <c r="BK78" s="129"/>
      <c r="BL78" s="129"/>
      <c r="BM78" s="129"/>
      <c r="BN78" s="129"/>
      <c r="BO78" s="129"/>
      <c r="BP78" s="129"/>
      <c r="BQ78" s="129"/>
      <c r="BR78" s="129"/>
      <c r="BS78" s="129"/>
      <c r="BT78" s="129"/>
      <c r="BU78" s="129"/>
      <c r="BV78" s="129"/>
      <c r="BW78" s="129"/>
      <c r="BX78" s="129"/>
      <c r="BY78" s="129"/>
      <c r="BZ78" s="129"/>
      <c r="CA78" s="129"/>
      <c r="CB78" s="129"/>
      <c r="CC78" s="129"/>
      <c r="CD78" s="129"/>
      <c r="CE78" s="129"/>
      <c r="CF78" s="129"/>
      <c r="CG78" s="129"/>
      <c r="CH78" s="129"/>
      <c r="CI78" s="129"/>
      <c r="CJ78" s="129"/>
      <c r="CK78" s="129"/>
      <c r="CL78" s="129"/>
      <c r="CM78" s="129"/>
      <c r="CN78" s="129"/>
      <c r="CO78" s="129"/>
      <c r="CP78" s="129"/>
      <c r="CQ78" s="129"/>
      <c r="CR78" s="129"/>
      <c r="CS78" s="129"/>
      <c r="CT78" s="129"/>
    </row>
    <row r="79" spans="1:98" s="120" customFormat="1">
      <c r="B79" s="2"/>
      <c r="C79" s="3"/>
      <c r="D79" s="2"/>
      <c r="E79" s="2"/>
      <c r="F79" s="3"/>
      <c r="G79" s="2"/>
      <c r="H79" s="129"/>
      <c r="I79" s="129"/>
      <c r="J79" s="129"/>
      <c r="K79" s="129"/>
      <c r="L79" s="129"/>
      <c r="M79" s="129"/>
      <c r="N79" s="129"/>
      <c r="O79" s="129"/>
      <c r="P79" s="129"/>
      <c r="Q79" s="129"/>
      <c r="R79" s="129"/>
      <c r="S79" s="129"/>
      <c r="T79" s="129"/>
      <c r="U79" s="129"/>
      <c r="V79" s="129"/>
      <c r="W79" s="129"/>
      <c r="X79" s="129"/>
      <c r="Y79" s="129"/>
      <c r="Z79" s="129"/>
      <c r="AA79" s="129"/>
      <c r="AB79" s="129"/>
      <c r="AC79" s="129"/>
      <c r="AD79" s="129"/>
      <c r="AE79" s="129"/>
      <c r="AF79" s="129"/>
      <c r="AG79" s="129"/>
      <c r="AH79" s="129"/>
      <c r="AI79" s="129"/>
      <c r="AJ79" s="129"/>
      <c r="AK79" s="129"/>
      <c r="AL79" s="129"/>
      <c r="AM79" s="129"/>
      <c r="AN79" s="129"/>
      <c r="AO79" s="129"/>
      <c r="AP79" s="129"/>
      <c r="AQ79" s="129"/>
      <c r="AR79" s="129"/>
      <c r="AS79" s="129"/>
      <c r="AT79" s="129"/>
      <c r="AU79" s="129"/>
      <c r="AV79" s="129"/>
      <c r="AW79" s="129"/>
      <c r="AX79" s="129"/>
      <c r="AY79" s="129"/>
      <c r="AZ79" s="129"/>
      <c r="BA79" s="129"/>
      <c r="BB79" s="129"/>
      <c r="BC79" s="129"/>
      <c r="BD79" s="129"/>
      <c r="BE79" s="129"/>
      <c r="BF79" s="129"/>
      <c r="BG79" s="129"/>
      <c r="BH79" s="129"/>
      <c r="BI79" s="129"/>
      <c r="BJ79" s="129"/>
      <c r="BK79" s="129"/>
      <c r="BL79" s="129"/>
      <c r="BM79" s="129"/>
      <c r="BN79" s="129"/>
      <c r="BO79" s="129"/>
      <c r="BP79" s="129"/>
      <c r="BQ79" s="129"/>
      <c r="BR79" s="129"/>
      <c r="BS79" s="129"/>
      <c r="BT79" s="129"/>
      <c r="BU79" s="129"/>
      <c r="BV79" s="129"/>
      <c r="BW79" s="129"/>
      <c r="BX79" s="129"/>
      <c r="BY79" s="129"/>
      <c r="BZ79" s="129"/>
      <c r="CA79" s="129"/>
      <c r="CB79" s="129"/>
      <c r="CC79" s="129"/>
      <c r="CD79" s="129"/>
      <c r="CE79" s="129"/>
      <c r="CF79" s="129"/>
      <c r="CG79" s="129"/>
      <c r="CH79" s="129"/>
      <c r="CI79" s="129"/>
      <c r="CJ79" s="129"/>
      <c r="CK79" s="129"/>
      <c r="CL79" s="129"/>
      <c r="CM79" s="129"/>
      <c r="CN79" s="129"/>
      <c r="CO79" s="129"/>
      <c r="CP79" s="129"/>
      <c r="CQ79" s="129"/>
      <c r="CR79" s="129"/>
      <c r="CS79" s="129"/>
      <c r="CT79" s="129"/>
    </row>
    <row r="80" spans="1:98" s="120" customFormat="1">
      <c r="B80" s="2"/>
      <c r="C80" s="3"/>
      <c r="D80" s="2"/>
      <c r="E80" s="2"/>
      <c r="F80" s="3"/>
      <c r="G80" s="2"/>
      <c r="H80" s="129"/>
      <c r="I80" s="129"/>
      <c r="J80" s="129"/>
      <c r="K80" s="129"/>
      <c r="L80" s="129"/>
      <c r="M80" s="129"/>
      <c r="N80" s="129"/>
      <c r="O80" s="129"/>
      <c r="P80" s="129"/>
      <c r="Q80" s="129"/>
      <c r="R80" s="129"/>
      <c r="S80" s="129"/>
      <c r="T80" s="129"/>
      <c r="U80" s="129"/>
      <c r="V80" s="129"/>
      <c r="W80" s="129"/>
      <c r="X80" s="129"/>
      <c r="Y80" s="129"/>
      <c r="Z80" s="129"/>
      <c r="AA80" s="129"/>
      <c r="AB80" s="129"/>
      <c r="AC80" s="129"/>
      <c r="AD80" s="129"/>
      <c r="AE80" s="129"/>
      <c r="AF80" s="129"/>
      <c r="AG80" s="129"/>
      <c r="AH80" s="129"/>
      <c r="AI80" s="129"/>
      <c r="AJ80" s="129"/>
      <c r="AK80" s="129"/>
      <c r="AL80" s="129"/>
      <c r="AM80" s="129"/>
      <c r="AN80" s="129"/>
      <c r="AO80" s="129"/>
      <c r="AP80" s="129"/>
      <c r="AQ80" s="129"/>
      <c r="AR80" s="129"/>
      <c r="AS80" s="129"/>
      <c r="AT80" s="129"/>
      <c r="AU80" s="129"/>
      <c r="AV80" s="129"/>
      <c r="AW80" s="129"/>
      <c r="AX80" s="129"/>
      <c r="AY80" s="129"/>
      <c r="AZ80" s="129"/>
      <c r="BA80" s="129"/>
      <c r="BB80" s="129"/>
      <c r="BC80" s="129"/>
      <c r="BD80" s="129"/>
      <c r="BE80" s="129"/>
      <c r="BF80" s="129"/>
      <c r="BG80" s="129"/>
      <c r="BH80" s="129"/>
      <c r="BI80" s="129"/>
      <c r="BJ80" s="129"/>
      <c r="BK80" s="129"/>
      <c r="BL80" s="129"/>
      <c r="BM80" s="129"/>
      <c r="BN80" s="129"/>
      <c r="BO80" s="129"/>
      <c r="BP80" s="129"/>
      <c r="BQ80" s="129"/>
      <c r="BR80" s="129"/>
      <c r="BS80" s="129"/>
      <c r="BT80" s="129"/>
      <c r="BU80" s="129"/>
      <c r="BV80" s="129"/>
      <c r="BW80" s="129"/>
      <c r="BX80" s="129"/>
      <c r="BY80" s="129"/>
      <c r="BZ80" s="129"/>
      <c r="CA80" s="129"/>
      <c r="CB80" s="129"/>
      <c r="CC80" s="129"/>
      <c r="CD80" s="129"/>
      <c r="CE80" s="129"/>
      <c r="CF80" s="129"/>
      <c r="CG80" s="129"/>
      <c r="CH80" s="129"/>
      <c r="CI80" s="129"/>
      <c r="CJ80" s="129"/>
      <c r="CK80" s="129"/>
      <c r="CL80" s="129"/>
      <c r="CM80" s="129"/>
      <c r="CN80" s="129"/>
      <c r="CO80" s="129"/>
      <c r="CP80" s="129"/>
      <c r="CQ80" s="129"/>
      <c r="CR80" s="129"/>
      <c r="CS80" s="129"/>
      <c r="CT80" s="129"/>
    </row>
    <row r="81" spans="2:98" s="120" customFormat="1">
      <c r="B81" s="2"/>
      <c r="C81" s="3"/>
      <c r="D81" s="2"/>
      <c r="E81" s="2"/>
      <c r="F81" s="3"/>
      <c r="G81" s="2"/>
      <c r="H81" s="129"/>
      <c r="I81" s="129"/>
      <c r="J81" s="129"/>
      <c r="K81" s="129"/>
      <c r="L81" s="129"/>
      <c r="M81" s="129"/>
      <c r="N81" s="129"/>
      <c r="O81" s="129"/>
      <c r="P81" s="129"/>
      <c r="Q81" s="129"/>
      <c r="R81" s="129"/>
      <c r="S81" s="129"/>
      <c r="T81" s="129"/>
      <c r="U81" s="129"/>
      <c r="V81" s="129"/>
      <c r="W81" s="129"/>
      <c r="X81" s="129"/>
      <c r="Y81" s="129"/>
      <c r="Z81" s="129"/>
      <c r="AA81" s="129"/>
      <c r="AB81" s="129"/>
      <c r="AC81" s="129"/>
      <c r="AD81" s="129"/>
      <c r="AE81" s="129"/>
      <c r="AF81" s="129"/>
      <c r="AG81" s="129"/>
      <c r="AH81" s="129"/>
      <c r="AI81" s="129"/>
      <c r="AJ81" s="129"/>
      <c r="AK81" s="129"/>
      <c r="AL81" s="129"/>
      <c r="AM81" s="129"/>
      <c r="AN81" s="129"/>
      <c r="AO81" s="129"/>
      <c r="AP81" s="129"/>
      <c r="AQ81" s="129"/>
      <c r="AR81" s="129"/>
      <c r="AS81" s="129"/>
      <c r="AT81" s="129"/>
      <c r="AU81" s="129"/>
      <c r="AV81" s="129"/>
      <c r="AW81" s="129"/>
      <c r="AX81" s="129"/>
      <c r="AY81" s="129"/>
      <c r="AZ81" s="129"/>
      <c r="BA81" s="129"/>
      <c r="BB81" s="129"/>
      <c r="BC81" s="129"/>
      <c r="BD81" s="129"/>
      <c r="BE81" s="129"/>
      <c r="BF81" s="129"/>
      <c r="BG81" s="129"/>
      <c r="BH81" s="129"/>
      <c r="BI81" s="129"/>
      <c r="BJ81" s="129"/>
      <c r="BK81" s="129"/>
      <c r="BL81" s="129"/>
      <c r="BM81" s="129"/>
      <c r="BN81" s="129"/>
      <c r="BO81" s="129"/>
      <c r="BP81" s="129"/>
      <c r="BQ81" s="129"/>
      <c r="BR81" s="129"/>
      <c r="BS81" s="129"/>
      <c r="BT81" s="129"/>
      <c r="BU81" s="129"/>
      <c r="BV81" s="129"/>
      <c r="BW81" s="129"/>
      <c r="BX81" s="129"/>
      <c r="BY81" s="129"/>
      <c r="BZ81" s="129"/>
      <c r="CA81" s="129"/>
      <c r="CB81" s="129"/>
      <c r="CC81" s="129"/>
      <c r="CD81" s="129"/>
      <c r="CE81" s="129"/>
      <c r="CF81" s="129"/>
      <c r="CG81" s="129"/>
      <c r="CH81" s="129"/>
      <c r="CI81" s="129"/>
      <c r="CJ81" s="129"/>
      <c r="CK81" s="129"/>
      <c r="CL81" s="129"/>
      <c r="CM81" s="129"/>
      <c r="CN81" s="129"/>
      <c r="CO81" s="129"/>
      <c r="CP81" s="129"/>
      <c r="CQ81" s="129"/>
      <c r="CR81" s="129"/>
      <c r="CS81" s="129"/>
      <c r="CT81" s="129"/>
    </row>
    <row r="82" spans="2:98" s="120" customFormat="1">
      <c r="B82" s="2"/>
      <c r="C82" s="3"/>
      <c r="D82" s="2"/>
      <c r="E82" s="2"/>
      <c r="F82" s="3"/>
      <c r="G82" s="2"/>
      <c r="H82" s="129"/>
      <c r="I82" s="129"/>
      <c r="J82" s="129"/>
      <c r="K82" s="129"/>
      <c r="L82" s="129"/>
      <c r="M82" s="129"/>
      <c r="N82" s="129"/>
      <c r="O82" s="129"/>
      <c r="P82" s="129"/>
      <c r="Q82" s="129"/>
      <c r="R82" s="129"/>
      <c r="S82" s="129"/>
      <c r="T82" s="129"/>
      <c r="U82" s="129"/>
      <c r="V82" s="129"/>
      <c r="W82" s="129"/>
      <c r="X82" s="129"/>
      <c r="Y82" s="129"/>
      <c r="Z82" s="129"/>
      <c r="AA82" s="129"/>
      <c r="AB82" s="129"/>
      <c r="AC82" s="129"/>
      <c r="AD82" s="129"/>
      <c r="AE82" s="129"/>
      <c r="AF82" s="129"/>
      <c r="AG82" s="129"/>
      <c r="AH82" s="129"/>
      <c r="AI82" s="129"/>
      <c r="AJ82" s="129"/>
      <c r="AK82" s="129"/>
      <c r="AL82" s="129"/>
      <c r="AM82" s="129"/>
      <c r="AN82" s="129"/>
      <c r="AO82" s="129"/>
      <c r="AP82" s="129"/>
      <c r="AQ82" s="129"/>
      <c r="AR82" s="129"/>
      <c r="AS82" s="129"/>
      <c r="AT82" s="129"/>
      <c r="AU82" s="129"/>
      <c r="AV82" s="129"/>
      <c r="AW82" s="129"/>
      <c r="AX82" s="129"/>
      <c r="AY82" s="129"/>
      <c r="AZ82" s="129"/>
      <c r="BA82" s="129"/>
      <c r="BB82" s="129"/>
      <c r="BC82" s="129"/>
      <c r="BD82" s="129"/>
      <c r="BE82" s="129"/>
      <c r="BF82" s="129"/>
      <c r="BG82" s="129"/>
      <c r="BH82" s="129"/>
      <c r="BI82" s="129"/>
      <c r="BJ82" s="129"/>
      <c r="BK82" s="129"/>
      <c r="BL82" s="129"/>
      <c r="BM82" s="129"/>
      <c r="BN82" s="129"/>
      <c r="BO82" s="129"/>
      <c r="BP82" s="129"/>
      <c r="BQ82" s="129"/>
      <c r="BR82" s="129"/>
      <c r="BS82" s="129"/>
      <c r="BT82" s="129"/>
      <c r="BU82" s="129"/>
      <c r="BV82" s="129"/>
      <c r="BW82" s="129"/>
      <c r="BX82" s="129"/>
      <c r="BY82" s="129"/>
      <c r="BZ82" s="129"/>
      <c r="CA82" s="129"/>
      <c r="CB82" s="129"/>
      <c r="CC82" s="129"/>
      <c r="CD82" s="129"/>
      <c r="CE82" s="129"/>
      <c r="CF82" s="129"/>
      <c r="CG82" s="129"/>
      <c r="CH82" s="129"/>
      <c r="CI82" s="129"/>
      <c r="CJ82" s="129"/>
      <c r="CK82" s="129"/>
      <c r="CL82" s="129"/>
      <c r="CM82" s="129"/>
      <c r="CN82" s="129"/>
      <c r="CO82" s="129"/>
      <c r="CP82" s="129"/>
      <c r="CQ82" s="129"/>
      <c r="CR82" s="129"/>
      <c r="CS82" s="129"/>
      <c r="CT82" s="129"/>
    </row>
    <row r="83" spans="2:98" s="120" customFormat="1">
      <c r="B83" s="2"/>
      <c r="C83" s="3"/>
      <c r="D83" s="2"/>
      <c r="E83" s="2"/>
      <c r="F83" s="3"/>
      <c r="G83" s="2"/>
      <c r="H83" s="129"/>
      <c r="I83" s="129"/>
      <c r="J83" s="129"/>
      <c r="K83" s="129"/>
      <c r="L83" s="129"/>
      <c r="M83" s="129"/>
      <c r="N83" s="129"/>
      <c r="O83" s="129"/>
      <c r="P83" s="129"/>
      <c r="Q83" s="129"/>
      <c r="R83" s="129"/>
      <c r="S83" s="129"/>
      <c r="T83" s="129"/>
      <c r="U83" s="129"/>
      <c r="V83" s="129"/>
      <c r="W83" s="129"/>
      <c r="X83" s="129"/>
      <c r="Y83" s="129"/>
      <c r="Z83" s="129"/>
      <c r="AA83" s="129"/>
      <c r="AB83" s="129"/>
      <c r="AC83" s="129"/>
      <c r="AD83" s="129"/>
      <c r="AE83" s="129"/>
      <c r="AF83" s="129"/>
      <c r="AG83" s="129"/>
      <c r="AH83" s="129"/>
      <c r="AI83" s="129"/>
      <c r="AJ83" s="129"/>
      <c r="AK83" s="129"/>
      <c r="AL83" s="129"/>
      <c r="AM83" s="129"/>
      <c r="AN83" s="129"/>
      <c r="AO83" s="129"/>
      <c r="AP83" s="129"/>
      <c r="AQ83" s="129"/>
      <c r="AR83" s="129"/>
      <c r="AS83" s="129"/>
      <c r="AT83" s="129"/>
      <c r="AU83" s="129"/>
      <c r="AV83" s="129"/>
      <c r="AW83" s="129"/>
      <c r="AX83" s="129"/>
      <c r="AY83" s="129"/>
      <c r="AZ83" s="129"/>
      <c r="BA83" s="129"/>
      <c r="BB83" s="129"/>
      <c r="BC83" s="129"/>
      <c r="BD83" s="129"/>
      <c r="BE83" s="129"/>
      <c r="BF83" s="129"/>
      <c r="BG83" s="129"/>
      <c r="BH83" s="129"/>
      <c r="BI83" s="129"/>
      <c r="BJ83" s="129"/>
      <c r="BK83" s="129"/>
      <c r="BL83" s="129"/>
      <c r="BM83" s="129"/>
      <c r="BN83" s="129"/>
      <c r="BO83" s="129"/>
      <c r="BP83" s="129"/>
      <c r="BQ83" s="129"/>
      <c r="BR83" s="129"/>
      <c r="BS83" s="129"/>
      <c r="BT83" s="129"/>
      <c r="BU83" s="129"/>
      <c r="BV83" s="129"/>
      <c r="BW83" s="129"/>
      <c r="BX83" s="129"/>
      <c r="BY83" s="129"/>
      <c r="BZ83" s="129"/>
      <c r="CA83" s="129"/>
      <c r="CB83" s="129"/>
      <c r="CC83" s="129"/>
      <c r="CD83" s="129"/>
      <c r="CE83" s="129"/>
      <c r="CF83" s="129"/>
      <c r="CG83" s="129"/>
      <c r="CH83" s="129"/>
      <c r="CI83" s="129"/>
      <c r="CJ83" s="129"/>
      <c r="CK83" s="129"/>
      <c r="CL83" s="129"/>
      <c r="CM83" s="129"/>
      <c r="CN83" s="129"/>
      <c r="CO83" s="129"/>
      <c r="CP83" s="129"/>
      <c r="CQ83" s="129"/>
      <c r="CR83" s="129"/>
      <c r="CS83" s="129"/>
      <c r="CT83" s="129"/>
    </row>
    <row r="84" spans="2:98" s="120" customFormat="1">
      <c r="B84" s="2"/>
      <c r="C84" s="3"/>
      <c r="D84" s="2"/>
      <c r="E84" s="2"/>
      <c r="F84" s="3"/>
      <c r="G84" s="2"/>
      <c r="H84" s="129"/>
      <c r="I84" s="129"/>
      <c r="J84" s="129"/>
      <c r="K84" s="129"/>
      <c r="L84" s="129"/>
      <c r="M84" s="129"/>
      <c r="N84" s="129"/>
      <c r="O84" s="129"/>
      <c r="P84" s="129"/>
      <c r="Q84" s="129"/>
      <c r="R84" s="129"/>
      <c r="S84" s="129"/>
      <c r="T84" s="129"/>
      <c r="U84" s="129"/>
      <c r="V84" s="129"/>
      <c r="W84" s="129"/>
      <c r="X84" s="129"/>
      <c r="Y84" s="129"/>
      <c r="Z84" s="129"/>
      <c r="AA84" s="129"/>
      <c r="AB84" s="129"/>
      <c r="AC84" s="129"/>
      <c r="AD84" s="129"/>
      <c r="AE84" s="129"/>
      <c r="AF84" s="129"/>
      <c r="AG84" s="129"/>
      <c r="AH84" s="129"/>
      <c r="AI84" s="129"/>
      <c r="AJ84" s="129"/>
      <c r="AK84" s="129"/>
      <c r="AL84" s="129"/>
      <c r="AM84" s="129"/>
      <c r="AN84" s="129"/>
      <c r="AO84" s="129"/>
      <c r="AP84" s="129"/>
      <c r="AQ84" s="129"/>
      <c r="AR84" s="129"/>
      <c r="AS84" s="129"/>
      <c r="AT84" s="129"/>
      <c r="AU84" s="129"/>
      <c r="AV84" s="129"/>
      <c r="AW84" s="129"/>
      <c r="AX84" s="129"/>
      <c r="AY84" s="129"/>
      <c r="AZ84" s="129"/>
      <c r="BA84" s="129"/>
      <c r="BB84" s="129"/>
      <c r="BC84" s="129"/>
      <c r="BD84" s="129"/>
      <c r="BE84" s="129"/>
      <c r="BF84" s="129"/>
      <c r="BG84" s="129"/>
      <c r="BH84" s="129"/>
      <c r="BI84" s="129"/>
      <c r="BJ84" s="129"/>
      <c r="BK84" s="129"/>
      <c r="BL84" s="129"/>
      <c r="BM84" s="129"/>
      <c r="BN84" s="129"/>
      <c r="BO84" s="129"/>
      <c r="BP84" s="129"/>
      <c r="BQ84" s="129"/>
      <c r="BR84" s="129"/>
      <c r="BS84" s="129"/>
      <c r="BT84" s="129"/>
      <c r="BU84" s="129"/>
      <c r="BV84" s="129"/>
      <c r="BW84" s="129"/>
      <c r="BX84" s="129"/>
      <c r="BY84" s="129"/>
      <c r="BZ84" s="129"/>
      <c r="CA84" s="129"/>
      <c r="CB84" s="129"/>
      <c r="CC84" s="129"/>
      <c r="CD84" s="129"/>
      <c r="CE84" s="129"/>
      <c r="CF84" s="129"/>
      <c r="CG84" s="129"/>
      <c r="CH84" s="129"/>
      <c r="CI84" s="129"/>
      <c r="CJ84" s="129"/>
      <c r="CK84" s="129"/>
      <c r="CL84" s="129"/>
      <c r="CM84" s="129"/>
      <c r="CN84" s="129"/>
      <c r="CO84" s="129"/>
      <c r="CP84" s="129"/>
      <c r="CQ84" s="129"/>
      <c r="CR84" s="129"/>
      <c r="CS84" s="129"/>
      <c r="CT84" s="129"/>
    </row>
    <row r="85" spans="2:98" s="120" customFormat="1">
      <c r="B85" s="2"/>
      <c r="C85" s="3"/>
      <c r="D85" s="2"/>
      <c r="E85" s="2"/>
      <c r="F85" s="3"/>
      <c r="G85" s="2"/>
      <c r="H85" s="129"/>
      <c r="I85" s="129"/>
      <c r="J85" s="129"/>
      <c r="K85" s="129"/>
      <c r="L85" s="129"/>
      <c r="M85" s="129"/>
      <c r="N85" s="129"/>
      <c r="O85" s="129"/>
      <c r="P85" s="129"/>
      <c r="Q85" s="129"/>
      <c r="R85" s="129"/>
      <c r="S85" s="129"/>
      <c r="T85" s="129"/>
      <c r="U85" s="129"/>
      <c r="V85" s="129"/>
      <c r="W85" s="129"/>
      <c r="X85" s="129"/>
      <c r="Y85" s="129"/>
      <c r="Z85" s="129"/>
      <c r="AA85" s="129"/>
      <c r="AB85" s="129"/>
      <c r="AC85" s="129"/>
      <c r="AD85" s="129"/>
      <c r="AE85" s="129"/>
      <c r="AF85" s="129"/>
      <c r="AG85" s="129"/>
      <c r="AH85" s="129"/>
      <c r="AI85" s="129"/>
      <c r="AJ85" s="129"/>
      <c r="AK85" s="129"/>
      <c r="AL85" s="129"/>
      <c r="AM85" s="129"/>
      <c r="AN85" s="129"/>
      <c r="AO85" s="129"/>
      <c r="AP85" s="129"/>
      <c r="AQ85" s="129"/>
      <c r="AR85" s="129"/>
      <c r="AS85" s="129"/>
      <c r="AT85" s="129"/>
      <c r="AU85" s="129"/>
      <c r="AV85" s="129"/>
      <c r="AW85" s="129"/>
      <c r="AX85" s="129"/>
      <c r="AY85" s="129"/>
      <c r="AZ85" s="129"/>
      <c r="BA85" s="129"/>
      <c r="BB85" s="129"/>
      <c r="BC85" s="129"/>
      <c r="BD85" s="129"/>
      <c r="BE85" s="129"/>
      <c r="BF85" s="129"/>
      <c r="BG85" s="129"/>
      <c r="BH85" s="129"/>
      <c r="BI85" s="129"/>
      <c r="BJ85" s="129"/>
      <c r="BK85" s="129"/>
      <c r="BL85" s="129"/>
      <c r="BM85" s="129"/>
      <c r="BN85" s="129"/>
      <c r="BO85" s="129"/>
      <c r="BP85" s="129"/>
      <c r="BQ85" s="129"/>
      <c r="BR85" s="129"/>
      <c r="BS85" s="129"/>
      <c r="BT85" s="129"/>
      <c r="BU85" s="129"/>
      <c r="BV85" s="129"/>
      <c r="BW85" s="129"/>
      <c r="BX85" s="129"/>
      <c r="BY85" s="129"/>
      <c r="BZ85" s="129"/>
      <c r="CA85" s="129"/>
      <c r="CB85" s="129"/>
      <c r="CC85" s="129"/>
      <c r="CD85" s="129"/>
      <c r="CE85" s="129"/>
      <c r="CF85" s="129"/>
      <c r="CG85" s="129"/>
      <c r="CH85" s="129"/>
      <c r="CI85" s="129"/>
      <c r="CJ85" s="129"/>
      <c r="CK85" s="129"/>
      <c r="CL85" s="129"/>
      <c r="CM85" s="129"/>
      <c r="CN85" s="129"/>
      <c r="CO85" s="129"/>
      <c r="CP85" s="129"/>
      <c r="CQ85" s="129"/>
      <c r="CR85" s="129"/>
      <c r="CS85" s="129"/>
      <c r="CT85" s="129"/>
    </row>
    <row r="86" spans="2:98" s="120" customFormat="1">
      <c r="B86" s="2"/>
      <c r="C86" s="3"/>
      <c r="D86" s="2"/>
      <c r="E86" s="2"/>
      <c r="F86" s="3"/>
      <c r="G86" s="2"/>
      <c r="H86" s="129"/>
      <c r="I86" s="129"/>
      <c r="J86" s="129"/>
      <c r="K86" s="129"/>
      <c r="L86" s="129"/>
      <c r="M86" s="129"/>
      <c r="N86" s="129"/>
      <c r="O86" s="129"/>
      <c r="P86" s="129"/>
      <c r="Q86" s="129"/>
      <c r="R86" s="129"/>
      <c r="S86" s="129"/>
      <c r="T86" s="129"/>
      <c r="U86" s="129"/>
      <c r="V86" s="129"/>
      <c r="W86" s="129"/>
      <c r="X86" s="129"/>
      <c r="Y86" s="129"/>
      <c r="Z86" s="129"/>
      <c r="AA86" s="129"/>
      <c r="AB86" s="129"/>
      <c r="AC86" s="129"/>
      <c r="AD86" s="129"/>
      <c r="AE86" s="129"/>
      <c r="AF86" s="129"/>
      <c r="AG86" s="129"/>
      <c r="AH86" s="129"/>
      <c r="AI86" s="129"/>
      <c r="AJ86" s="129"/>
      <c r="AK86" s="129"/>
      <c r="AL86" s="129"/>
      <c r="AM86" s="129"/>
      <c r="AN86" s="129"/>
      <c r="AO86" s="129"/>
      <c r="AP86" s="129"/>
      <c r="AQ86" s="129"/>
      <c r="AR86" s="129"/>
      <c r="AS86" s="129"/>
      <c r="AT86" s="129"/>
      <c r="AU86" s="129"/>
      <c r="AV86" s="129"/>
      <c r="AW86" s="129"/>
      <c r="AX86" s="129"/>
      <c r="AY86" s="129"/>
      <c r="AZ86" s="129"/>
      <c r="BA86" s="129"/>
      <c r="BB86" s="129"/>
      <c r="BC86" s="129"/>
      <c r="BD86" s="129"/>
      <c r="BE86" s="129"/>
      <c r="BF86" s="129"/>
      <c r="BG86" s="129"/>
      <c r="BH86" s="129"/>
      <c r="BI86" s="129"/>
      <c r="BJ86" s="129"/>
      <c r="BK86" s="129"/>
      <c r="BL86" s="129"/>
      <c r="BM86" s="129"/>
      <c r="BN86" s="129"/>
      <c r="BO86" s="129"/>
      <c r="BP86" s="129"/>
      <c r="BQ86" s="129"/>
      <c r="BR86" s="129"/>
      <c r="BS86" s="129"/>
      <c r="BT86" s="129"/>
      <c r="BU86" s="129"/>
      <c r="BV86" s="129"/>
      <c r="BW86" s="129"/>
      <c r="BX86" s="129"/>
      <c r="BY86" s="129"/>
      <c r="BZ86" s="129"/>
      <c r="CA86" s="129"/>
      <c r="CB86" s="129"/>
      <c r="CC86" s="129"/>
      <c r="CD86" s="129"/>
      <c r="CE86" s="129"/>
      <c r="CF86" s="129"/>
      <c r="CG86" s="129"/>
      <c r="CH86" s="129"/>
      <c r="CI86" s="129"/>
      <c r="CJ86" s="129"/>
      <c r="CK86" s="129"/>
      <c r="CL86" s="129"/>
      <c r="CM86" s="129"/>
      <c r="CN86" s="129"/>
      <c r="CO86" s="129"/>
      <c r="CP86" s="129"/>
      <c r="CQ86" s="129"/>
      <c r="CR86" s="129"/>
      <c r="CS86" s="129"/>
      <c r="CT86" s="129"/>
    </row>
    <row r="87" spans="2:98" s="120" customFormat="1">
      <c r="B87" s="2"/>
      <c r="C87" s="3"/>
      <c r="D87" s="2"/>
      <c r="E87" s="2"/>
      <c r="F87" s="3"/>
      <c r="G87" s="2"/>
      <c r="H87" s="129"/>
      <c r="I87" s="129"/>
      <c r="J87" s="129"/>
      <c r="K87" s="129"/>
      <c r="L87" s="129"/>
      <c r="M87" s="129"/>
      <c r="N87" s="129"/>
      <c r="O87" s="129"/>
      <c r="P87" s="129"/>
      <c r="Q87" s="129"/>
      <c r="R87" s="129"/>
      <c r="S87" s="129"/>
      <c r="T87" s="129"/>
      <c r="U87" s="129"/>
      <c r="V87" s="129"/>
      <c r="W87" s="129"/>
      <c r="X87" s="129"/>
      <c r="Y87" s="129"/>
      <c r="Z87" s="129"/>
      <c r="AA87" s="129"/>
      <c r="AB87" s="129"/>
      <c r="AC87" s="129"/>
      <c r="AD87" s="129"/>
      <c r="AE87" s="129"/>
      <c r="AF87" s="129"/>
      <c r="AG87" s="129"/>
      <c r="AH87" s="129"/>
      <c r="AI87" s="129"/>
      <c r="AJ87" s="129"/>
      <c r="AK87" s="129"/>
      <c r="AL87" s="129"/>
      <c r="AM87" s="129"/>
      <c r="AN87" s="129"/>
      <c r="AO87" s="129"/>
      <c r="AP87" s="129"/>
      <c r="AQ87" s="129"/>
      <c r="AR87" s="129"/>
      <c r="AS87" s="129"/>
      <c r="AT87" s="129"/>
      <c r="AU87" s="129"/>
      <c r="AV87" s="129"/>
      <c r="AW87" s="129"/>
      <c r="AX87" s="129"/>
      <c r="AY87" s="129"/>
      <c r="AZ87" s="129"/>
      <c r="BA87" s="129"/>
      <c r="BB87" s="129"/>
      <c r="BC87" s="129"/>
      <c r="BD87" s="129"/>
      <c r="BE87" s="129"/>
      <c r="BF87" s="129"/>
      <c r="BG87" s="129"/>
      <c r="BH87" s="129"/>
      <c r="BI87" s="129"/>
      <c r="BJ87" s="129"/>
      <c r="BK87" s="129"/>
      <c r="BL87" s="129"/>
      <c r="BM87" s="129"/>
      <c r="BN87" s="129"/>
      <c r="BO87" s="129"/>
      <c r="BP87" s="129"/>
      <c r="BQ87" s="129"/>
      <c r="BR87" s="129"/>
      <c r="BS87" s="129"/>
      <c r="BT87" s="129"/>
      <c r="BU87" s="129"/>
      <c r="BV87" s="129"/>
      <c r="BW87" s="129"/>
      <c r="BX87" s="129"/>
      <c r="BY87" s="129"/>
      <c r="BZ87" s="129"/>
      <c r="CA87" s="129"/>
      <c r="CB87" s="129"/>
      <c r="CC87" s="129"/>
      <c r="CD87" s="129"/>
      <c r="CE87" s="129"/>
      <c r="CF87" s="129"/>
      <c r="CG87" s="129"/>
      <c r="CH87" s="129"/>
      <c r="CI87" s="129"/>
      <c r="CJ87" s="129"/>
      <c r="CK87" s="129"/>
      <c r="CL87" s="129"/>
      <c r="CM87" s="129"/>
      <c r="CN87" s="129"/>
      <c r="CO87" s="129"/>
      <c r="CP87" s="129"/>
      <c r="CQ87" s="129"/>
      <c r="CR87" s="129"/>
      <c r="CS87" s="129"/>
      <c r="CT87" s="129"/>
    </row>
    <row r="88" spans="2:98" s="120" customFormat="1">
      <c r="B88" s="2"/>
      <c r="C88" s="3"/>
      <c r="D88" s="2"/>
      <c r="E88" s="2"/>
      <c r="F88" s="3"/>
      <c r="G88" s="2"/>
      <c r="H88" s="129"/>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129"/>
      <c r="AL88" s="129"/>
      <c r="AM88" s="129"/>
      <c r="AN88" s="129"/>
      <c r="AO88" s="129"/>
      <c r="AP88" s="129"/>
      <c r="AQ88" s="129"/>
      <c r="AR88" s="129"/>
      <c r="AS88" s="129"/>
      <c r="AT88" s="129"/>
      <c r="AU88" s="129"/>
      <c r="AV88" s="129"/>
      <c r="AW88" s="129"/>
      <c r="AX88" s="129"/>
      <c r="AY88" s="129"/>
      <c r="AZ88" s="129"/>
      <c r="BA88" s="129"/>
      <c r="BB88" s="129"/>
      <c r="BC88" s="129"/>
      <c r="BD88" s="129"/>
      <c r="BE88" s="129"/>
      <c r="BF88" s="129"/>
      <c r="BG88" s="129"/>
      <c r="BH88" s="129"/>
      <c r="BI88" s="129"/>
      <c r="BJ88" s="129"/>
      <c r="BK88" s="129"/>
      <c r="BL88" s="129"/>
      <c r="BM88" s="129"/>
      <c r="BN88" s="129"/>
      <c r="BO88" s="129"/>
      <c r="BP88" s="129"/>
      <c r="BQ88" s="129"/>
      <c r="BR88" s="129"/>
      <c r="BS88" s="129"/>
      <c r="BT88" s="129"/>
      <c r="BU88" s="129"/>
      <c r="BV88" s="129"/>
      <c r="BW88" s="129"/>
      <c r="BX88" s="129"/>
      <c r="BY88" s="129"/>
      <c r="BZ88" s="129"/>
      <c r="CA88" s="129"/>
      <c r="CB88" s="129"/>
      <c r="CC88" s="129"/>
      <c r="CD88" s="129"/>
      <c r="CE88" s="129"/>
      <c r="CF88" s="129"/>
      <c r="CG88" s="129"/>
      <c r="CH88" s="129"/>
      <c r="CI88" s="129"/>
      <c r="CJ88" s="129"/>
      <c r="CK88" s="129"/>
      <c r="CL88" s="129"/>
      <c r="CM88" s="129"/>
      <c r="CN88" s="129"/>
      <c r="CO88" s="129"/>
      <c r="CP88" s="129"/>
      <c r="CQ88" s="129"/>
      <c r="CR88" s="129"/>
      <c r="CS88" s="129"/>
      <c r="CT88" s="129"/>
    </row>
    <row r="89" spans="2:98" s="120" customFormat="1">
      <c r="B89" s="2"/>
      <c r="C89" s="3"/>
      <c r="D89" s="2"/>
      <c r="E89" s="2"/>
      <c r="F89" s="3"/>
      <c r="G89" s="2"/>
      <c r="H89" s="129"/>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129"/>
      <c r="AL89" s="129"/>
      <c r="AM89" s="129"/>
      <c r="AN89" s="129"/>
      <c r="AO89" s="129"/>
      <c r="AP89" s="129"/>
      <c r="AQ89" s="129"/>
      <c r="AR89" s="129"/>
      <c r="AS89" s="129"/>
      <c r="AT89" s="129"/>
      <c r="AU89" s="129"/>
      <c r="AV89" s="129"/>
      <c r="AW89" s="129"/>
      <c r="AX89" s="129"/>
      <c r="AY89" s="129"/>
      <c r="AZ89" s="129"/>
      <c r="BA89" s="129"/>
      <c r="BB89" s="129"/>
      <c r="BC89" s="129"/>
      <c r="BD89" s="129"/>
      <c r="BE89" s="129"/>
      <c r="BF89" s="129"/>
      <c r="BG89" s="129"/>
      <c r="BH89" s="129"/>
      <c r="BI89" s="129"/>
      <c r="BJ89" s="129"/>
      <c r="BK89" s="129"/>
      <c r="BL89" s="129"/>
      <c r="BM89" s="129"/>
      <c r="BN89" s="129"/>
      <c r="BO89" s="129"/>
      <c r="BP89" s="129"/>
      <c r="BQ89" s="129"/>
      <c r="BR89" s="129"/>
      <c r="BS89" s="129"/>
      <c r="BT89" s="129"/>
      <c r="BU89" s="129"/>
      <c r="BV89" s="129"/>
      <c r="BW89" s="129"/>
      <c r="BX89" s="129"/>
      <c r="BY89" s="129"/>
      <c r="BZ89" s="129"/>
      <c r="CA89" s="129"/>
      <c r="CB89" s="129"/>
      <c r="CC89" s="129"/>
      <c r="CD89" s="129"/>
      <c r="CE89" s="129"/>
      <c r="CF89" s="129"/>
      <c r="CG89" s="129"/>
      <c r="CH89" s="129"/>
      <c r="CI89" s="129"/>
      <c r="CJ89" s="129"/>
      <c r="CK89" s="129"/>
      <c r="CL89" s="129"/>
      <c r="CM89" s="129"/>
      <c r="CN89" s="129"/>
      <c r="CO89" s="129"/>
      <c r="CP89" s="129"/>
      <c r="CQ89" s="129"/>
      <c r="CR89" s="129"/>
      <c r="CS89" s="129"/>
      <c r="CT89" s="129"/>
    </row>
    <row r="90" spans="2:98" s="120" customFormat="1">
      <c r="B90" s="2"/>
      <c r="C90" s="3"/>
      <c r="D90" s="2"/>
      <c r="E90" s="2"/>
      <c r="F90" s="3"/>
      <c r="G90" s="2"/>
      <c r="H90" s="129"/>
      <c r="I90" s="129"/>
      <c r="J90" s="129"/>
      <c r="K90" s="129"/>
      <c r="L90" s="129"/>
      <c r="M90" s="129"/>
      <c r="N90" s="129"/>
      <c r="O90" s="129"/>
      <c r="P90" s="129"/>
      <c r="Q90" s="129"/>
      <c r="R90" s="129"/>
      <c r="S90" s="129"/>
      <c r="T90" s="129"/>
      <c r="U90" s="129"/>
      <c r="V90" s="129"/>
      <c r="W90" s="129"/>
      <c r="X90" s="129"/>
      <c r="Y90" s="129"/>
      <c r="Z90" s="129"/>
      <c r="AA90" s="129"/>
      <c r="AB90" s="129"/>
      <c r="AC90" s="129"/>
      <c r="AD90" s="129"/>
      <c r="AE90" s="129"/>
      <c r="AF90" s="129"/>
      <c r="AG90" s="129"/>
      <c r="AH90" s="129"/>
      <c r="AI90" s="129"/>
      <c r="AJ90" s="129"/>
      <c r="AK90" s="129"/>
      <c r="AL90" s="129"/>
      <c r="AM90" s="129"/>
      <c r="AN90" s="129"/>
      <c r="AO90" s="129"/>
      <c r="AP90" s="129"/>
      <c r="AQ90" s="129"/>
      <c r="AR90" s="129"/>
      <c r="AS90" s="129"/>
      <c r="AT90" s="129"/>
      <c r="AU90" s="129"/>
      <c r="AV90" s="129"/>
      <c r="AW90" s="129"/>
      <c r="AX90" s="129"/>
      <c r="AY90" s="129"/>
      <c r="AZ90" s="129"/>
      <c r="BA90" s="129"/>
      <c r="BB90" s="129"/>
      <c r="BC90" s="129"/>
      <c r="BD90" s="129"/>
      <c r="BE90" s="129"/>
      <c r="BF90" s="129"/>
      <c r="BG90" s="129"/>
      <c r="BH90" s="129"/>
      <c r="BI90" s="129"/>
      <c r="BJ90" s="129"/>
      <c r="BK90" s="129"/>
      <c r="BL90" s="129"/>
      <c r="BM90" s="129"/>
      <c r="BN90" s="129"/>
      <c r="BO90" s="129"/>
      <c r="BP90" s="129"/>
      <c r="BQ90" s="129"/>
      <c r="BR90" s="129"/>
      <c r="BS90" s="129"/>
      <c r="BT90" s="129"/>
      <c r="BU90" s="129"/>
      <c r="BV90" s="129"/>
      <c r="BW90" s="129"/>
      <c r="BX90" s="129"/>
      <c r="BY90" s="129"/>
      <c r="BZ90" s="129"/>
      <c r="CA90" s="129"/>
      <c r="CB90" s="129"/>
      <c r="CC90" s="129"/>
      <c r="CD90" s="129"/>
      <c r="CE90" s="129"/>
      <c r="CF90" s="129"/>
      <c r="CG90" s="129"/>
      <c r="CH90" s="129"/>
      <c r="CI90" s="129"/>
      <c r="CJ90" s="129"/>
      <c r="CK90" s="129"/>
      <c r="CL90" s="129"/>
      <c r="CM90" s="129"/>
      <c r="CN90" s="129"/>
      <c r="CO90" s="129"/>
      <c r="CP90" s="129"/>
      <c r="CQ90" s="129"/>
      <c r="CR90" s="129"/>
      <c r="CS90" s="129"/>
      <c r="CT90" s="129"/>
    </row>
    <row r="91" spans="2:98" s="120" customFormat="1">
      <c r="B91" s="2"/>
      <c r="C91" s="3"/>
      <c r="D91" s="2"/>
      <c r="E91" s="2"/>
      <c r="F91" s="3"/>
      <c r="G91" s="2"/>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29"/>
      <c r="AT91" s="129"/>
      <c r="AU91" s="129"/>
      <c r="AV91" s="129"/>
      <c r="AW91" s="129"/>
      <c r="AX91" s="129"/>
      <c r="AY91" s="129"/>
      <c r="AZ91" s="129"/>
      <c r="BA91" s="129"/>
      <c r="BB91" s="129"/>
      <c r="BC91" s="129"/>
      <c r="BD91" s="129"/>
      <c r="BE91" s="129"/>
      <c r="BF91" s="129"/>
      <c r="BG91" s="129"/>
      <c r="BH91" s="129"/>
      <c r="BI91" s="129"/>
      <c r="BJ91" s="129"/>
      <c r="BK91" s="129"/>
      <c r="BL91" s="129"/>
      <c r="BM91" s="129"/>
      <c r="BN91" s="129"/>
      <c r="BO91" s="129"/>
      <c r="BP91" s="129"/>
      <c r="BQ91" s="129"/>
      <c r="BR91" s="129"/>
      <c r="BS91" s="129"/>
      <c r="BT91" s="129"/>
      <c r="BU91" s="129"/>
      <c r="BV91" s="129"/>
      <c r="BW91" s="129"/>
      <c r="BX91" s="129"/>
      <c r="BY91" s="129"/>
      <c r="BZ91" s="129"/>
      <c r="CA91" s="129"/>
      <c r="CB91" s="129"/>
      <c r="CC91" s="129"/>
      <c r="CD91" s="129"/>
      <c r="CE91" s="129"/>
      <c r="CF91" s="129"/>
      <c r="CG91" s="129"/>
      <c r="CH91" s="129"/>
      <c r="CI91" s="129"/>
      <c r="CJ91" s="129"/>
      <c r="CK91" s="129"/>
      <c r="CL91" s="129"/>
      <c r="CM91" s="129"/>
      <c r="CN91" s="129"/>
      <c r="CO91" s="129"/>
      <c r="CP91" s="129"/>
      <c r="CQ91" s="129"/>
      <c r="CR91" s="129"/>
      <c r="CS91" s="129"/>
      <c r="CT91" s="129"/>
    </row>
    <row r="92" spans="2:98" s="120" customFormat="1">
      <c r="B92" s="2"/>
      <c r="C92" s="3"/>
      <c r="D92" s="2"/>
      <c r="E92" s="2"/>
      <c r="F92" s="3"/>
      <c r="G92" s="2"/>
      <c r="H92" s="129"/>
      <c r="I92" s="129"/>
      <c r="J92" s="129"/>
      <c r="K92" s="129"/>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29"/>
      <c r="AT92" s="129"/>
      <c r="AU92" s="129"/>
      <c r="AV92" s="129"/>
      <c r="AW92" s="129"/>
      <c r="AX92" s="129"/>
      <c r="AY92" s="129"/>
      <c r="AZ92" s="129"/>
      <c r="BA92" s="129"/>
      <c r="BB92" s="129"/>
      <c r="BC92" s="129"/>
      <c r="BD92" s="129"/>
      <c r="BE92" s="129"/>
      <c r="BF92" s="129"/>
      <c r="BG92" s="129"/>
      <c r="BH92" s="129"/>
      <c r="BI92" s="129"/>
      <c r="BJ92" s="129"/>
      <c r="BK92" s="129"/>
      <c r="BL92" s="129"/>
      <c r="BM92" s="129"/>
      <c r="BN92" s="129"/>
      <c r="BO92" s="129"/>
      <c r="BP92" s="129"/>
      <c r="BQ92" s="129"/>
      <c r="BR92" s="129"/>
      <c r="BS92" s="129"/>
      <c r="BT92" s="129"/>
      <c r="BU92" s="129"/>
      <c r="BV92" s="129"/>
      <c r="BW92" s="129"/>
      <c r="BX92" s="129"/>
      <c r="BY92" s="129"/>
      <c r="BZ92" s="129"/>
      <c r="CA92" s="129"/>
      <c r="CB92" s="129"/>
      <c r="CC92" s="129"/>
      <c r="CD92" s="129"/>
      <c r="CE92" s="129"/>
      <c r="CF92" s="129"/>
      <c r="CG92" s="129"/>
      <c r="CH92" s="129"/>
      <c r="CI92" s="129"/>
      <c r="CJ92" s="129"/>
      <c r="CK92" s="129"/>
      <c r="CL92" s="129"/>
      <c r="CM92" s="129"/>
      <c r="CN92" s="129"/>
      <c r="CO92" s="129"/>
      <c r="CP92" s="129"/>
      <c r="CQ92" s="129"/>
      <c r="CR92" s="129"/>
      <c r="CS92" s="129"/>
      <c r="CT92" s="129"/>
    </row>
    <row r="93" spans="2:98" s="120" customFormat="1">
      <c r="B93" s="2"/>
      <c r="C93" s="3"/>
      <c r="D93" s="2"/>
      <c r="E93" s="2"/>
      <c r="F93" s="3"/>
      <c r="G93" s="2"/>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c r="AS93" s="129"/>
      <c r="AT93" s="129"/>
      <c r="AU93" s="129"/>
      <c r="AV93" s="129"/>
      <c r="AW93" s="129"/>
      <c r="AX93" s="129"/>
      <c r="AY93" s="129"/>
      <c r="AZ93" s="129"/>
      <c r="BA93" s="129"/>
      <c r="BB93" s="129"/>
      <c r="BC93" s="129"/>
      <c r="BD93" s="129"/>
      <c r="BE93" s="129"/>
      <c r="BF93" s="129"/>
      <c r="BG93" s="129"/>
      <c r="BH93" s="129"/>
      <c r="BI93" s="129"/>
      <c r="BJ93" s="129"/>
      <c r="BK93" s="129"/>
      <c r="BL93" s="129"/>
      <c r="BM93" s="129"/>
      <c r="BN93" s="129"/>
      <c r="BO93" s="129"/>
      <c r="BP93" s="129"/>
      <c r="BQ93" s="129"/>
      <c r="BR93" s="129"/>
      <c r="BS93" s="129"/>
      <c r="BT93" s="129"/>
      <c r="BU93" s="129"/>
      <c r="BV93" s="129"/>
      <c r="BW93" s="129"/>
      <c r="BX93" s="129"/>
      <c r="BY93" s="129"/>
      <c r="BZ93" s="129"/>
      <c r="CA93" s="129"/>
      <c r="CB93" s="129"/>
      <c r="CC93" s="129"/>
      <c r="CD93" s="129"/>
      <c r="CE93" s="129"/>
      <c r="CF93" s="129"/>
      <c r="CG93" s="129"/>
      <c r="CH93" s="129"/>
      <c r="CI93" s="129"/>
      <c r="CJ93" s="129"/>
      <c r="CK93" s="129"/>
      <c r="CL93" s="129"/>
      <c r="CM93" s="129"/>
      <c r="CN93" s="129"/>
      <c r="CO93" s="129"/>
      <c r="CP93" s="129"/>
      <c r="CQ93" s="129"/>
      <c r="CR93" s="129"/>
      <c r="CS93" s="129"/>
      <c r="CT93" s="129"/>
    </row>
    <row r="94" spans="2:98" s="120" customFormat="1">
      <c r="B94" s="2"/>
      <c r="C94" s="3"/>
      <c r="D94" s="2"/>
      <c r="E94" s="2"/>
      <c r="F94" s="3"/>
      <c r="G94" s="2"/>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c r="AQ94" s="129"/>
      <c r="AR94" s="129"/>
      <c r="AS94" s="129"/>
      <c r="AT94" s="129"/>
      <c r="AU94" s="129"/>
      <c r="AV94" s="129"/>
      <c r="AW94" s="129"/>
      <c r="AX94" s="129"/>
      <c r="AY94" s="129"/>
      <c r="AZ94" s="129"/>
      <c r="BA94" s="129"/>
      <c r="BB94" s="129"/>
      <c r="BC94" s="129"/>
      <c r="BD94" s="129"/>
      <c r="BE94" s="129"/>
      <c r="BF94" s="129"/>
      <c r="BG94" s="129"/>
      <c r="BH94" s="129"/>
      <c r="BI94" s="129"/>
      <c r="BJ94" s="129"/>
      <c r="BK94" s="129"/>
      <c r="BL94" s="129"/>
      <c r="BM94" s="129"/>
      <c r="BN94" s="129"/>
      <c r="BO94" s="129"/>
      <c r="BP94" s="129"/>
      <c r="BQ94" s="129"/>
      <c r="BR94" s="129"/>
      <c r="BS94" s="129"/>
      <c r="BT94" s="129"/>
      <c r="BU94" s="129"/>
      <c r="BV94" s="129"/>
      <c r="BW94" s="129"/>
      <c r="BX94" s="129"/>
      <c r="BY94" s="129"/>
      <c r="BZ94" s="129"/>
      <c r="CA94" s="129"/>
      <c r="CB94" s="129"/>
      <c r="CC94" s="129"/>
      <c r="CD94" s="129"/>
      <c r="CE94" s="129"/>
      <c r="CF94" s="129"/>
      <c r="CG94" s="129"/>
      <c r="CH94" s="129"/>
      <c r="CI94" s="129"/>
      <c r="CJ94" s="129"/>
      <c r="CK94" s="129"/>
      <c r="CL94" s="129"/>
      <c r="CM94" s="129"/>
      <c r="CN94" s="129"/>
      <c r="CO94" s="129"/>
      <c r="CP94" s="129"/>
      <c r="CQ94" s="129"/>
      <c r="CR94" s="129"/>
      <c r="CS94" s="129"/>
      <c r="CT94" s="129"/>
    </row>
    <row r="95" spans="2:98" s="120" customFormat="1">
      <c r="B95" s="2"/>
      <c r="C95" s="3"/>
      <c r="D95" s="2"/>
      <c r="E95" s="2"/>
      <c r="F95" s="3"/>
      <c r="G95" s="2"/>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c r="AQ95" s="129"/>
      <c r="AR95" s="129"/>
      <c r="AS95" s="129"/>
      <c r="AT95" s="129"/>
      <c r="AU95" s="129"/>
      <c r="AV95" s="129"/>
      <c r="AW95" s="129"/>
      <c r="AX95" s="129"/>
      <c r="AY95" s="129"/>
      <c r="AZ95" s="129"/>
      <c r="BA95" s="129"/>
      <c r="BB95" s="129"/>
      <c r="BC95" s="129"/>
      <c r="BD95" s="129"/>
      <c r="BE95" s="129"/>
      <c r="BF95" s="129"/>
      <c r="BG95" s="129"/>
      <c r="BH95" s="129"/>
      <c r="BI95" s="129"/>
      <c r="BJ95" s="129"/>
      <c r="BK95" s="129"/>
      <c r="BL95" s="129"/>
      <c r="BM95" s="129"/>
      <c r="BN95" s="129"/>
      <c r="BO95" s="129"/>
      <c r="BP95" s="129"/>
      <c r="BQ95" s="129"/>
      <c r="BR95" s="129"/>
      <c r="BS95" s="129"/>
      <c r="BT95" s="129"/>
      <c r="BU95" s="129"/>
      <c r="BV95" s="129"/>
      <c r="BW95" s="129"/>
      <c r="BX95" s="129"/>
      <c r="BY95" s="129"/>
      <c r="BZ95" s="129"/>
      <c r="CA95" s="129"/>
      <c r="CB95" s="129"/>
      <c r="CC95" s="129"/>
      <c r="CD95" s="129"/>
      <c r="CE95" s="129"/>
      <c r="CF95" s="129"/>
      <c r="CG95" s="129"/>
      <c r="CH95" s="129"/>
      <c r="CI95" s="129"/>
      <c r="CJ95" s="129"/>
      <c r="CK95" s="129"/>
      <c r="CL95" s="129"/>
      <c r="CM95" s="129"/>
      <c r="CN95" s="129"/>
      <c r="CO95" s="129"/>
      <c r="CP95" s="129"/>
      <c r="CQ95" s="129"/>
      <c r="CR95" s="129"/>
      <c r="CS95" s="129"/>
      <c r="CT95" s="129"/>
    </row>
    <row r="96" spans="2:98" s="120" customFormat="1">
      <c r="B96" s="2"/>
      <c r="C96" s="3"/>
      <c r="D96" s="2"/>
      <c r="E96" s="2"/>
      <c r="F96" s="3"/>
      <c r="G96" s="2"/>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c r="AS96" s="129"/>
      <c r="AT96" s="129"/>
      <c r="AU96" s="129"/>
      <c r="AV96" s="129"/>
      <c r="AW96" s="129"/>
      <c r="AX96" s="129"/>
      <c r="AY96" s="129"/>
      <c r="AZ96" s="129"/>
      <c r="BA96" s="129"/>
      <c r="BB96" s="129"/>
      <c r="BC96" s="129"/>
      <c r="BD96" s="129"/>
      <c r="BE96" s="129"/>
      <c r="BF96" s="129"/>
      <c r="BG96" s="129"/>
      <c r="BH96" s="129"/>
      <c r="BI96" s="129"/>
      <c r="BJ96" s="129"/>
      <c r="BK96" s="129"/>
      <c r="BL96" s="129"/>
      <c r="BM96" s="129"/>
      <c r="BN96" s="129"/>
      <c r="BO96" s="129"/>
      <c r="BP96" s="129"/>
      <c r="BQ96" s="129"/>
      <c r="BR96" s="129"/>
      <c r="BS96" s="129"/>
      <c r="BT96" s="129"/>
      <c r="BU96" s="129"/>
      <c r="BV96" s="129"/>
      <c r="BW96" s="129"/>
      <c r="BX96" s="129"/>
      <c r="BY96" s="129"/>
      <c r="BZ96" s="129"/>
      <c r="CA96" s="129"/>
      <c r="CB96" s="129"/>
      <c r="CC96" s="129"/>
      <c r="CD96" s="129"/>
      <c r="CE96" s="129"/>
      <c r="CF96" s="129"/>
      <c r="CG96" s="129"/>
      <c r="CH96" s="129"/>
      <c r="CI96" s="129"/>
      <c r="CJ96" s="129"/>
      <c r="CK96" s="129"/>
      <c r="CL96" s="129"/>
      <c r="CM96" s="129"/>
      <c r="CN96" s="129"/>
      <c r="CO96" s="129"/>
      <c r="CP96" s="129"/>
      <c r="CQ96" s="129"/>
      <c r="CR96" s="129"/>
      <c r="CS96" s="129"/>
      <c r="CT96" s="129"/>
    </row>
    <row r="97" spans="2:98" s="120" customFormat="1">
      <c r="B97" s="2"/>
      <c r="C97" s="3"/>
      <c r="D97" s="2"/>
      <c r="E97" s="2"/>
      <c r="F97" s="3"/>
      <c r="G97" s="2"/>
      <c r="H97" s="129"/>
      <c r="I97" s="129"/>
      <c r="J97" s="129"/>
      <c r="K97" s="129"/>
      <c r="L97" s="129"/>
      <c r="M97" s="129"/>
      <c r="N97" s="129"/>
      <c r="O97" s="129"/>
      <c r="P97" s="129"/>
      <c r="Q97" s="129"/>
      <c r="R97" s="129"/>
      <c r="S97" s="129"/>
      <c r="T97" s="129"/>
      <c r="U97" s="129"/>
      <c r="V97" s="129"/>
      <c r="W97" s="129"/>
      <c r="X97" s="129"/>
      <c r="Y97" s="129"/>
      <c r="Z97" s="129"/>
      <c r="AA97" s="129"/>
      <c r="AB97" s="129"/>
      <c r="AC97" s="129"/>
      <c r="AD97" s="129"/>
      <c r="AE97" s="129"/>
      <c r="AF97" s="129"/>
      <c r="AG97" s="129"/>
      <c r="AH97" s="129"/>
      <c r="AI97" s="129"/>
      <c r="AJ97" s="129"/>
      <c r="AK97" s="129"/>
      <c r="AL97" s="129"/>
      <c r="AM97" s="129"/>
      <c r="AN97" s="129"/>
      <c r="AO97" s="129"/>
      <c r="AP97" s="129"/>
      <c r="AQ97" s="129"/>
      <c r="AR97" s="129"/>
      <c r="AS97" s="129"/>
      <c r="AT97" s="129"/>
      <c r="AU97" s="129"/>
      <c r="AV97" s="129"/>
      <c r="AW97" s="129"/>
      <c r="AX97" s="129"/>
      <c r="AY97" s="129"/>
      <c r="AZ97" s="129"/>
      <c r="BA97" s="129"/>
      <c r="BB97" s="129"/>
      <c r="BC97" s="129"/>
      <c r="BD97" s="129"/>
      <c r="BE97" s="129"/>
      <c r="BF97" s="129"/>
      <c r="BG97" s="129"/>
      <c r="BH97" s="129"/>
      <c r="BI97" s="129"/>
      <c r="BJ97" s="129"/>
      <c r="BK97" s="129"/>
      <c r="BL97" s="129"/>
      <c r="BM97" s="129"/>
      <c r="BN97" s="129"/>
      <c r="BO97" s="129"/>
      <c r="BP97" s="129"/>
      <c r="BQ97" s="129"/>
      <c r="BR97" s="129"/>
      <c r="BS97" s="129"/>
      <c r="BT97" s="129"/>
      <c r="BU97" s="129"/>
      <c r="BV97" s="129"/>
      <c r="BW97" s="129"/>
      <c r="BX97" s="129"/>
      <c r="BY97" s="129"/>
      <c r="BZ97" s="129"/>
      <c r="CA97" s="129"/>
      <c r="CB97" s="129"/>
      <c r="CC97" s="129"/>
      <c r="CD97" s="129"/>
      <c r="CE97" s="129"/>
      <c r="CF97" s="129"/>
      <c r="CG97" s="129"/>
      <c r="CH97" s="129"/>
      <c r="CI97" s="129"/>
      <c r="CJ97" s="129"/>
      <c r="CK97" s="129"/>
      <c r="CL97" s="129"/>
      <c r="CM97" s="129"/>
      <c r="CN97" s="129"/>
      <c r="CO97" s="129"/>
      <c r="CP97" s="129"/>
      <c r="CQ97" s="129"/>
      <c r="CR97" s="129"/>
      <c r="CS97" s="129"/>
      <c r="CT97" s="129"/>
    </row>
    <row r="98" spans="2:98" s="120" customFormat="1">
      <c r="B98" s="2"/>
      <c r="C98" s="3"/>
      <c r="D98" s="2"/>
      <c r="E98" s="2"/>
      <c r="F98" s="3"/>
      <c r="G98" s="2"/>
      <c r="H98" s="129"/>
      <c r="I98" s="129"/>
      <c r="J98" s="129"/>
      <c r="K98" s="129"/>
      <c r="L98" s="129"/>
      <c r="M98" s="129"/>
      <c r="N98" s="129"/>
      <c r="O98" s="129"/>
      <c r="P98" s="129"/>
      <c r="Q98" s="129"/>
      <c r="R98" s="129"/>
      <c r="S98" s="129"/>
      <c r="T98" s="129"/>
      <c r="U98" s="129"/>
      <c r="V98" s="129"/>
      <c r="W98" s="129"/>
      <c r="X98" s="129"/>
      <c r="Y98" s="129"/>
      <c r="Z98" s="129"/>
      <c r="AA98" s="129"/>
      <c r="AB98" s="129"/>
      <c r="AC98" s="129"/>
      <c r="AD98" s="129"/>
      <c r="AE98" s="129"/>
      <c r="AF98" s="129"/>
      <c r="AG98" s="129"/>
      <c r="AH98" s="129"/>
      <c r="AI98" s="129"/>
      <c r="AJ98" s="129"/>
      <c r="AK98" s="129"/>
      <c r="AL98" s="129"/>
      <c r="AM98" s="129"/>
      <c r="AN98" s="129"/>
      <c r="AO98" s="129"/>
      <c r="AP98" s="129"/>
      <c r="AQ98" s="129"/>
      <c r="AR98" s="129"/>
      <c r="AS98" s="129"/>
      <c r="AT98" s="129"/>
      <c r="AU98" s="129"/>
      <c r="AV98" s="129"/>
      <c r="AW98" s="129"/>
      <c r="AX98" s="129"/>
      <c r="AY98" s="129"/>
      <c r="AZ98" s="129"/>
      <c r="BA98" s="129"/>
      <c r="BB98" s="129"/>
      <c r="BC98" s="129"/>
      <c r="BD98" s="129"/>
      <c r="BE98" s="129"/>
      <c r="BF98" s="129"/>
      <c r="BG98" s="129"/>
      <c r="BH98" s="129"/>
      <c r="BI98" s="129"/>
      <c r="BJ98" s="129"/>
      <c r="BK98" s="129"/>
      <c r="BL98" s="129"/>
      <c r="BM98" s="129"/>
      <c r="BN98" s="129"/>
      <c r="BO98" s="129"/>
      <c r="BP98" s="129"/>
      <c r="BQ98" s="129"/>
      <c r="BR98" s="129"/>
      <c r="BS98" s="129"/>
      <c r="BT98" s="129"/>
      <c r="BU98" s="129"/>
      <c r="BV98" s="129"/>
      <c r="BW98" s="129"/>
      <c r="BX98" s="129"/>
      <c r="BY98" s="129"/>
      <c r="BZ98" s="129"/>
      <c r="CA98" s="129"/>
      <c r="CB98" s="129"/>
      <c r="CC98" s="129"/>
      <c r="CD98" s="129"/>
      <c r="CE98" s="129"/>
      <c r="CF98" s="129"/>
      <c r="CG98" s="129"/>
      <c r="CH98" s="129"/>
      <c r="CI98" s="129"/>
      <c r="CJ98" s="129"/>
      <c r="CK98" s="129"/>
      <c r="CL98" s="129"/>
      <c r="CM98" s="129"/>
      <c r="CN98" s="129"/>
      <c r="CO98" s="129"/>
      <c r="CP98" s="129"/>
      <c r="CQ98" s="129"/>
      <c r="CR98" s="129"/>
      <c r="CS98" s="129"/>
      <c r="CT98" s="129"/>
    </row>
    <row r="99" spans="2:98" s="120" customFormat="1">
      <c r="B99" s="2"/>
      <c r="C99" s="3"/>
      <c r="D99" s="2"/>
      <c r="E99" s="2"/>
      <c r="F99" s="3"/>
      <c r="G99" s="2"/>
      <c r="H99" s="129"/>
      <c r="I99" s="129"/>
      <c r="J99" s="129"/>
      <c r="K99" s="129"/>
      <c r="L99" s="129"/>
      <c r="M99" s="129"/>
      <c r="N99" s="129"/>
      <c r="O99" s="129"/>
      <c r="P99" s="129"/>
      <c r="Q99" s="129"/>
      <c r="R99" s="129"/>
      <c r="S99" s="129"/>
      <c r="T99" s="129"/>
      <c r="U99" s="129"/>
      <c r="V99" s="129"/>
      <c r="W99" s="129"/>
      <c r="X99" s="129"/>
      <c r="Y99" s="129"/>
      <c r="Z99" s="129"/>
      <c r="AA99" s="129"/>
      <c r="AB99" s="129"/>
      <c r="AC99" s="129"/>
      <c r="AD99" s="129"/>
      <c r="AE99" s="129"/>
      <c r="AF99" s="129"/>
      <c r="AG99" s="129"/>
      <c r="AH99" s="129"/>
      <c r="AI99" s="129"/>
      <c r="AJ99" s="129"/>
      <c r="AK99" s="129"/>
      <c r="AL99" s="129"/>
      <c r="AM99" s="129"/>
      <c r="AN99" s="129"/>
      <c r="AO99" s="129"/>
      <c r="AP99" s="129"/>
      <c r="AQ99" s="129"/>
      <c r="AR99" s="129"/>
      <c r="AS99" s="129"/>
      <c r="AT99" s="129"/>
      <c r="AU99" s="129"/>
      <c r="AV99" s="129"/>
      <c r="AW99" s="129"/>
      <c r="AX99" s="129"/>
      <c r="AY99" s="129"/>
      <c r="AZ99" s="129"/>
      <c r="BA99" s="129"/>
      <c r="BB99" s="129"/>
      <c r="BC99" s="129"/>
      <c r="BD99" s="129"/>
      <c r="BE99" s="129"/>
      <c r="BF99" s="129"/>
      <c r="BG99" s="129"/>
      <c r="BH99" s="129"/>
      <c r="BI99" s="129"/>
      <c r="BJ99" s="129"/>
      <c r="BK99" s="129"/>
      <c r="BL99" s="129"/>
      <c r="BM99" s="129"/>
      <c r="BN99" s="129"/>
      <c r="BO99" s="129"/>
      <c r="BP99" s="129"/>
      <c r="BQ99" s="129"/>
      <c r="BR99" s="129"/>
      <c r="BS99" s="129"/>
      <c r="BT99" s="129"/>
      <c r="BU99" s="129"/>
      <c r="BV99" s="129"/>
      <c r="BW99" s="129"/>
      <c r="BX99" s="129"/>
      <c r="BY99" s="129"/>
      <c r="BZ99" s="129"/>
      <c r="CA99" s="129"/>
      <c r="CB99" s="129"/>
      <c r="CC99" s="129"/>
      <c r="CD99" s="129"/>
      <c r="CE99" s="129"/>
      <c r="CF99" s="129"/>
      <c r="CG99" s="129"/>
      <c r="CH99" s="129"/>
      <c r="CI99" s="129"/>
      <c r="CJ99" s="129"/>
      <c r="CK99" s="129"/>
      <c r="CL99" s="129"/>
      <c r="CM99" s="129"/>
      <c r="CN99" s="129"/>
      <c r="CO99" s="129"/>
      <c r="CP99" s="129"/>
      <c r="CQ99" s="129"/>
      <c r="CR99" s="129"/>
      <c r="CS99" s="129"/>
      <c r="CT99" s="129"/>
    </row>
    <row r="100" spans="2:98" s="120" customFormat="1">
      <c r="B100" s="2"/>
      <c r="C100" s="3"/>
      <c r="D100" s="2"/>
      <c r="E100" s="2"/>
      <c r="F100" s="3"/>
      <c r="G100" s="2"/>
      <c r="H100" s="129"/>
      <c r="I100" s="129"/>
      <c r="J100" s="129"/>
      <c r="K100" s="129"/>
      <c r="L100" s="129"/>
      <c r="M100" s="129"/>
      <c r="N100" s="129"/>
      <c r="O100" s="129"/>
      <c r="P100" s="129"/>
      <c r="Q100" s="129"/>
      <c r="R100" s="129"/>
      <c r="S100" s="129"/>
      <c r="T100" s="129"/>
      <c r="U100" s="129"/>
      <c r="V100" s="129"/>
      <c r="W100" s="129"/>
      <c r="X100" s="129"/>
      <c r="Y100" s="129"/>
      <c r="Z100" s="129"/>
      <c r="AA100" s="129"/>
      <c r="AB100" s="129"/>
      <c r="AC100" s="129"/>
      <c r="AD100" s="129"/>
      <c r="AE100" s="129"/>
      <c r="AF100" s="129"/>
      <c r="AG100" s="129"/>
      <c r="AH100" s="129"/>
      <c r="AI100" s="129"/>
      <c r="AJ100" s="129"/>
      <c r="AK100" s="129"/>
      <c r="AL100" s="129"/>
      <c r="AM100" s="129"/>
      <c r="AN100" s="129"/>
      <c r="AO100" s="129"/>
      <c r="AP100" s="129"/>
      <c r="AQ100" s="129"/>
      <c r="AR100" s="129"/>
      <c r="AS100" s="129"/>
      <c r="AT100" s="129"/>
      <c r="AU100" s="129"/>
      <c r="AV100" s="129"/>
      <c r="AW100" s="129"/>
      <c r="AX100" s="129"/>
      <c r="AY100" s="129"/>
      <c r="AZ100" s="129"/>
      <c r="BA100" s="129"/>
      <c r="BB100" s="129"/>
      <c r="BC100" s="129"/>
      <c r="BD100" s="129"/>
      <c r="BE100" s="129"/>
      <c r="BF100" s="129"/>
      <c r="BG100" s="129"/>
      <c r="BH100" s="129"/>
      <c r="BI100" s="129"/>
      <c r="BJ100" s="129"/>
      <c r="BK100" s="129"/>
      <c r="BL100" s="129"/>
      <c r="BM100" s="129"/>
      <c r="BN100" s="129"/>
      <c r="BO100" s="129"/>
      <c r="BP100" s="129"/>
      <c r="BQ100" s="129"/>
      <c r="BR100" s="129"/>
      <c r="BS100" s="129"/>
      <c r="BT100" s="129"/>
      <c r="BU100" s="129"/>
      <c r="BV100" s="129"/>
      <c r="BW100" s="129"/>
      <c r="BX100" s="129"/>
      <c r="BY100" s="129"/>
      <c r="BZ100" s="129"/>
      <c r="CA100" s="129"/>
      <c r="CB100" s="129"/>
      <c r="CC100" s="129"/>
      <c r="CD100" s="129"/>
      <c r="CE100" s="129"/>
      <c r="CF100" s="129"/>
      <c r="CG100" s="129"/>
      <c r="CH100" s="129"/>
      <c r="CI100" s="129"/>
      <c r="CJ100" s="129"/>
      <c r="CK100" s="129"/>
      <c r="CL100" s="129"/>
      <c r="CM100" s="129"/>
      <c r="CN100" s="129"/>
      <c r="CO100" s="129"/>
      <c r="CP100" s="129"/>
      <c r="CQ100" s="129"/>
      <c r="CR100" s="129"/>
      <c r="CS100" s="129"/>
      <c r="CT100" s="129"/>
    </row>
    <row r="101" spans="2:98" s="120" customFormat="1">
      <c r="B101" s="2"/>
      <c r="C101" s="3"/>
      <c r="D101" s="2"/>
      <c r="E101" s="2"/>
      <c r="F101" s="3"/>
      <c r="G101" s="2"/>
      <c r="H101" s="129"/>
      <c r="I101" s="129"/>
      <c r="J101" s="129"/>
      <c r="K101" s="129"/>
      <c r="L101" s="129"/>
      <c r="M101" s="129"/>
      <c r="N101" s="129"/>
      <c r="O101" s="129"/>
      <c r="P101" s="129"/>
      <c r="Q101" s="129"/>
      <c r="R101" s="129"/>
      <c r="S101" s="129"/>
      <c r="T101" s="129"/>
      <c r="U101" s="129"/>
      <c r="V101" s="129"/>
      <c r="W101" s="129"/>
      <c r="X101" s="129"/>
      <c r="Y101" s="129"/>
      <c r="Z101" s="129"/>
      <c r="AA101" s="129"/>
      <c r="AB101" s="129"/>
      <c r="AC101" s="129"/>
      <c r="AD101" s="129"/>
      <c r="AE101" s="129"/>
      <c r="AF101" s="129"/>
      <c r="AG101" s="129"/>
      <c r="AH101" s="129"/>
      <c r="AI101" s="129"/>
      <c r="AJ101" s="129"/>
      <c r="AK101" s="129"/>
      <c r="AL101" s="129"/>
      <c r="AM101" s="129"/>
      <c r="AN101" s="129"/>
      <c r="AO101" s="129"/>
      <c r="AP101" s="129"/>
      <c r="AQ101" s="129"/>
      <c r="AR101" s="129"/>
      <c r="AS101" s="129"/>
      <c r="AT101" s="129"/>
      <c r="AU101" s="129"/>
      <c r="AV101" s="129"/>
      <c r="AW101" s="129"/>
      <c r="AX101" s="129"/>
      <c r="AY101" s="129"/>
      <c r="AZ101" s="129"/>
      <c r="BA101" s="129"/>
      <c r="BB101" s="129"/>
      <c r="BC101" s="129"/>
      <c r="BD101" s="129"/>
      <c r="BE101" s="129"/>
      <c r="BF101" s="129"/>
      <c r="BG101" s="129"/>
      <c r="BH101" s="129"/>
      <c r="BI101" s="129"/>
      <c r="BJ101" s="129"/>
      <c r="BK101" s="129"/>
      <c r="BL101" s="129"/>
      <c r="BM101" s="129"/>
      <c r="BN101" s="129"/>
      <c r="BO101" s="129"/>
      <c r="BP101" s="129"/>
      <c r="BQ101" s="129"/>
      <c r="BR101" s="129"/>
      <c r="BS101" s="129"/>
      <c r="BT101" s="129"/>
      <c r="BU101" s="129"/>
      <c r="BV101" s="129"/>
      <c r="BW101" s="129"/>
      <c r="BX101" s="129"/>
      <c r="BY101" s="129"/>
      <c r="BZ101" s="129"/>
      <c r="CA101" s="129"/>
      <c r="CB101" s="129"/>
      <c r="CC101" s="129"/>
      <c r="CD101" s="129"/>
      <c r="CE101" s="129"/>
      <c r="CF101" s="129"/>
      <c r="CG101" s="129"/>
      <c r="CH101" s="129"/>
      <c r="CI101" s="129"/>
      <c r="CJ101" s="129"/>
      <c r="CK101" s="129"/>
      <c r="CL101" s="129"/>
      <c r="CM101" s="129"/>
      <c r="CN101" s="129"/>
      <c r="CO101" s="129"/>
      <c r="CP101" s="129"/>
      <c r="CQ101" s="129"/>
      <c r="CR101" s="129"/>
      <c r="CS101" s="129"/>
      <c r="CT101" s="129"/>
    </row>
    <row r="102" spans="2:98" s="120" customFormat="1">
      <c r="B102" s="2"/>
      <c r="C102" s="3"/>
      <c r="D102" s="2"/>
      <c r="E102" s="2"/>
      <c r="F102" s="3"/>
      <c r="G102" s="2"/>
      <c r="H102" s="129"/>
      <c r="I102" s="129"/>
      <c r="J102" s="129"/>
      <c r="K102" s="129"/>
      <c r="L102" s="129"/>
      <c r="M102" s="129"/>
      <c r="N102" s="129"/>
      <c r="O102" s="129"/>
      <c r="P102" s="129"/>
      <c r="Q102" s="129"/>
      <c r="R102" s="129"/>
      <c r="S102" s="129"/>
      <c r="T102" s="129"/>
      <c r="U102" s="129"/>
      <c r="V102" s="129"/>
      <c r="W102" s="129"/>
      <c r="X102" s="129"/>
      <c r="Y102" s="129"/>
      <c r="Z102" s="129"/>
      <c r="AA102" s="129"/>
      <c r="AB102" s="129"/>
      <c r="AC102" s="129"/>
      <c r="AD102" s="129"/>
      <c r="AE102" s="129"/>
      <c r="AF102" s="129"/>
      <c r="AG102" s="129"/>
      <c r="AH102" s="129"/>
      <c r="AI102" s="129"/>
      <c r="AJ102" s="129"/>
      <c r="AK102" s="129"/>
      <c r="AL102" s="129"/>
      <c r="AM102" s="129"/>
      <c r="AN102" s="129"/>
      <c r="AO102" s="129"/>
      <c r="AP102" s="129"/>
      <c r="AQ102" s="129"/>
      <c r="AR102" s="129"/>
      <c r="AS102" s="129"/>
      <c r="AT102" s="129"/>
      <c r="AU102" s="129"/>
      <c r="AV102" s="129"/>
      <c r="AW102" s="129"/>
      <c r="AX102" s="129"/>
      <c r="AY102" s="129"/>
      <c r="AZ102" s="129"/>
      <c r="BA102" s="129"/>
      <c r="BB102" s="129"/>
      <c r="BC102" s="129"/>
      <c r="BD102" s="129"/>
      <c r="BE102" s="129"/>
      <c r="BF102" s="129"/>
      <c r="BG102" s="129"/>
      <c r="BH102" s="129"/>
      <c r="BI102" s="129"/>
      <c r="BJ102" s="129"/>
      <c r="BK102" s="129"/>
      <c r="BL102" s="129"/>
      <c r="BM102" s="129"/>
      <c r="BN102" s="129"/>
      <c r="BO102" s="129"/>
      <c r="BP102" s="129"/>
      <c r="BQ102" s="129"/>
      <c r="BR102" s="129"/>
      <c r="BS102" s="129"/>
      <c r="BT102" s="129"/>
      <c r="BU102" s="129"/>
      <c r="BV102" s="129"/>
      <c r="BW102" s="129"/>
      <c r="BX102" s="129"/>
      <c r="BY102" s="129"/>
      <c r="BZ102" s="129"/>
      <c r="CA102" s="129"/>
      <c r="CB102" s="129"/>
      <c r="CC102" s="129"/>
      <c r="CD102" s="129"/>
      <c r="CE102" s="129"/>
      <c r="CF102" s="129"/>
      <c r="CG102" s="129"/>
      <c r="CH102" s="129"/>
      <c r="CI102" s="129"/>
      <c r="CJ102" s="129"/>
      <c r="CK102" s="129"/>
      <c r="CL102" s="129"/>
      <c r="CM102" s="129"/>
      <c r="CN102" s="129"/>
      <c r="CO102" s="129"/>
      <c r="CP102" s="129"/>
      <c r="CQ102" s="129"/>
      <c r="CR102" s="129"/>
      <c r="CS102" s="129"/>
      <c r="CT102" s="129"/>
    </row>
    <row r="103" spans="2:98" s="120" customFormat="1">
      <c r="B103" s="2"/>
      <c r="C103" s="3"/>
      <c r="D103" s="2"/>
      <c r="E103" s="2"/>
      <c r="F103" s="3"/>
      <c r="G103" s="2"/>
      <c r="H103" s="129"/>
      <c r="I103" s="129"/>
      <c r="J103" s="129"/>
      <c r="K103" s="129"/>
      <c r="L103" s="129"/>
      <c r="M103" s="129"/>
      <c r="N103" s="129"/>
      <c r="O103" s="129"/>
      <c r="P103" s="129"/>
      <c r="Q103" s="129"/>
      <c r="R103" s="129"/>
      <c r="S103" s="129"/>
      <c r="T103" s="129"/>
      <c r="U103" s="129"/>
      <c r="V103" s="129"/>
      <c r="W103" s="129"/>
      <c r="X103" s="129"/>
      <c r="Y103" s="129"/>
      <c r="Z103" s="129"/>
      <c r="AA103" s="129"/>
      <c r="AB103" s="129"/>
      <c r="AC103" s="129"/>
      <c r="AD103" s="129"/>
      <c r="AE103" s="129"/>
      <c r="AF103" s="129"/>
      <c r="AG103" s="129"/>
      <c r="AH103" s="129"/>
      <c r="AI103" s="129"/>
      <c r="AJ103" s="129"/>
      <c r="AK103" s="129"/>
      <c r="AL103" s="129"/>
      <c r="AM103" s="129"/>
      <c r="AN103" s="129"/>
      <c r="AO103" s="129"/>
      <c r="AP103" s="129"/>
      <c r="AQ103" s="129"/>
      <c r="AR103" s="129"/>
      <c r="AS103" s="129"/>
      <c r="AT103" s="129"/>
      <c r="AU103" s="129"/>
      <c r="AV103" s="129"/>
      <c r="AW103" s="129"/>
      <c r="AX103" s="129"/>
      <c r="AY103" s="129"/>
      <c r="AZ103" s="129"/>
      <c r="BA103" s="129"/>
      <c r="BB103" s="129"/>
      <c r="BC103" s="129"/>
      <c r="BD103" s="129"/>
      <c r="BE103" s="129"/>
      <c r="BF103" s="129"/>
      <c r="BG103" s="129"/>
      <c r="BH103" s="129"/>
      <c r="BI103" s="129"/>
      <c r="BJ103" s="129"/>
      <c r="BK103" s="129"/>
      <c r="BL103" s="129"/>
      <c r="BM103" s="129"/>
      <c r="BN103" s="129"/>
      <c r="BO103" s="129"/>
      <c r="BP103" s="129"/>
      <c r="BQ103" s="129"/>
      <c r="BR103" s="129"/>
      <c r="BS103" s="129"/>
      <c r="BT103" s="129"/>
      <c r="BU103" s="129"/>
      <c r="BV103" s="129"/>
      <c r="BW103" s="129"/>
      <c r="BX103" s="129"/>
      <c r="BY103" s="129"/>
      <c r="BZ103" s="129"/>
      <c r="CA103" s="129"/>
      <c r="CB103" s="129"/>
      <c r="CC103" s="129"/>
      <c r="CD103" s="129"/>
      <c r="CE103" s="129"/>
      <c r="CF103" s="129"/>
      <c r="CG103" s="129"/>
      <c r="CH103" s="129"/>
      <c r="CI103" s="129"/>
      <c r="CJ103" s="129"/>
      <c r="CK103" s="129"/>
      <c r="CL103" s="129"/>
      <c r="CM103" s="129"/>
      <c r="CN103" s="129"/>
      <c r="CO103" s="129"/>
      <c r="CP103" s="129"/>
      <c r="CQ103" s="129"/>
      <c r="CR103" s="129"/>
      <c r="CS103" s="129"/>
      <c r="CT103" s="129"/>
    </row>
    <row r="104" spans="2:98" s="120" customFormat="1">
      <c r="B104" s="2"/>
      <c r="C104" s="3"/>
      <c r="D104" s="2"/>
      <c r="E104" s="2"/>
      <c r="F104" s="3"/>
      <c r="G104" s="2"/>
      <c r="H104" s="129"/>
      <c r="I104" s="129"/>
      <c r="J104" s="129"/>
      <c r="K104" s="129"/>
      <c r="L104" s="129"/>
      <c r="M104" s="129"/>
      <c r="N104" s="129"/>
      <c r="O104" s="129"/>
      <c r="P104" s="129"/>
      <c r="Q104" s="129"/>
      <c r="R104" s="129"/>
      <c r="S104" s="129"/>
      <c r="T104" s="129"/>
      <c r="U104" s="129"/>
      <c r="V104" s="129"/>
      <c r="W104" s="129"/>
      <c r="X104" s="129"/>
      <c r="Y104" s="129"/>
      <c r="Z104" s="129"/>
      <c r="AA104" s="129"/>
      <c r="AB104" s="129"/>
      <c r="AC104" s="129"/>
      <c r="AD104" s="129"/>
      <c r="AE104" s="129"/>
      <c r="AF104" s="129"/>
      <c r="AG104" s="129"/>
      <c r="AH104" s="129"/>
      <c r="AI104" s="129"/>
      <c r="AJ104" s="129"/>
      <c r="AK104" s="129"/>
      <c r="AL104" s="129"/>
      <c r="AM104" s="129"/>
      <c r="AN104" s="129"/>
      <c r="AO104" s="129"/>
      <c r="AP104" s="129"/>
      <c r="AQ104" s="129"/>
      <c r="AR104" s="129"/>
      <c r="AS104" s="129"/>
      <c r="AT104" s="129"/>
      <c r="AU104" s="129"/>
      <c r="AV104" s="129"/>
      <c r="AW104" s="129"/>
      <c r="AX104" s="129"/>
      <c r="AY104" s="129"/>
      <c r="AZ104" s="129"/>
      <c r="BA104" s="129"/>
      <c r="BB104" s="129"/>
      <c r="BC104" s="129"/>
      <c r="BD104" s="129"/>
      <c r="BE104" s="129"/>
      <c r="BF104" s="129"/>
      <c r="BG104" s="129"/>
      <c r="BH104" s="129"/>
      <c r="BI104" s="129"/>
      <c r="BJ104" s="129"/>
      <c r="BK104" s="129"/>
      <c r="BL104" s="129"/>
      <c r="BM104" s="129"/>
      <c r="BN104" s="129"/>
      <c r="BO104" s="129"/>
      <c r="BP104" s="129"/>
      <c r="BQ104" s="129"/>
      <c r="BR104" s="129"/>
      <c r="BS104" s="129"/>
      <c r="BT104" s="129"/>
      <c r="BU104" s="129"/>
      <c r="BV104" s="129"/>
      <c r="BW104" s="129"/>
      <c r="BX104" s="129"/>
      <c r="BY104" s="129"/>
      <c r="BZ104" s="129"/>
      <c r="CA104" s="129"/>
      <c r="CB104" s="129"/>
      <c r="CC104" s="129"/>
      <c r="CD104" s="129"/>
      <c r="CE104" s="129"/>
      <c r="CF104" s="129"/>
      <c r="CG104" s="129"/>
      <c r="CH104" s="129"/>
      <c r="CI104" s="129"/>
      <c r="CJ104" s="129"/>
      <c r="CK104" s="129"/>
      <c r="CL104" s="129"/>
      <c r="CM104" s="129"/>
      <c r="CN104" s="129"/>
      <c r="CO104" s="129"/>
      <c r="CP104" s="129"/>
      <c r="CQ104" s="129"/>
      <c r="CR104" s="129"/>
      <c r="CS104" s="129"/>
      <c r="CT104" s="129"/>
    </row>
    <row r="105" spans="2:98" s="120" customFormat="1">
      <c r="B105" s="2"/>
      <c r="C105" s="3"/>
      <c r="D105" s="2"/>
      <c r="E105" s="2"/>
      <c r="F105" s="3"/>
      <c r="G105" s="2"/>
      <c r="H105" s="129"/>
      <c r="I105" s="129"/>
      <c r="J105" s="129"/>
      <c r="K105" s="129"/>
      <c r="L105" s="129"/>
      <c r="M105" s="129"/>
      <c r="N105" s="129"/>
      <c r="O105" s="129"/>
      <c r="P105" s="129"/>
      <c r="Q105" s="129"/>
      <c r="R105" s="129"/>
      <c r="S105" s="129"/>
      <c r="T105" s="129"/>
      <c r="U105" s="129"/>
      <c r="V105" s="129"/>
      <c r="W105" s="129"/>
      <c r="X105" s="129"/>
      <c r="Y105" s="129"/>
      <c r="Z105" s="129"/>
      <c r="AA105" s="129"/>
      <c r="AB105" s="129"/>
      <c r="AC105" s="129"/>
      <c r="AD105" s="129"/>
      <c r="AE105" s="129"/>
      <c r="AF105" s="129"/>
      <c r="AG105" s="129"/>
      <c r="AH105" s="129"/>
      <c r="AI105" s="129"/>
      <c r="AJ105" s="129"/>
      <c r="AK105" s="129"/>
      <c r="AL105" s="129"/>
      <c r="AM105" s="129"/>
      <c r="AN105" s="129"/>
      <c r="AO105" s="129"/>
      <c r="AP105" s="129"/>
      <c r="AQ105" s="129"/>
      <c r="AR105" s="129"/>
      <c r="AS105" s="129"/>
      <c r="AT105" s="129"/>
      <c r="AU105" s="129"/>
      <c r="AV105" s="129"/>
      <c r="AW105" s="129"/>
      <c r="AX105" s="129"/>
      <c r="AY105" s="129"/>
      <c r="AZ105" s="129"/>
      <c r="BA105" s="129"/>
      <c r="BB105" s="129"/>
      <c r="BC105" s="129"/>
      <c r="BD105" s="129"/>
      <c r="BE105" s="129"/>
      <c r="BF105" s="129"/>
      <c r="BG105" s="129"/>
      <c r="BH105" s="129"/>
      <c r="BI105" s="129"/>
      <c r="BJ105" s="129"/>
      <c r="BK105" s="129"/>
      <c r="BL105" s="129"/>
      <c r="BM105" s="129"/>
      <c r="BN105" s="129"/>
      <c r="BO105" s="129"/>
      <c r="BP105" s="129"/>
      <c r="BQ105" s="129"/>
      <c r="BR105" s="129"/>
      <c r="BS105" s="129"/>
      <c r="BT105" s="129"/>
      <c r="BU105" s="129"/>
      <c r="BV105" s="129"/>
      <c r="BW105" s="129"/>
      <c r="BX105" s="129"/>
      <c r="BY105" s="129"/>
      <c r="BZ105" s="129"/>
      <c r="CA105" s="129"/>
      <c r="CB105" s="129"/>
      <c r="CC105" s="129"/>
      <c r="CD105" s="129"/>
      <c r="CE105" s="129"/>
      <c r="CF105" s="129"/>
      <c r="CG105" s="129"/>
      <c r="CH105" s="129"/>
      <c r="CI105" s="129"/>
      <c r="CJ105" s="129"/>
      <c r="CK105" s="129"/>
      <c r="CL105" s="129"/>
      <c r="CM105" s="129"/>
      <c r="CN105" s="129"/>
      <c r="CO105" s="129"/>
      <c r="CP105" s="129"/>
      <c r="CQ105" s="129"/>
      <c r="CR105" s="129"/>
      <c r="CS105" s="129"/>
      <c r="CT105" s="129"/>
    </row>
    <row r="106" spans="2:98" s="120" customFormat="1">
      <c r="B106" s="2"/>
      <c r="C106" s="3"/>
      <c r="D106" s="2"/>
      <c r="E106" s="2"/>
      <c r="F106" s="3"/>
      <c r="G106" s="2"/>
      <c r="H106" s="129"/>
      <c r="I106" s="129"/>
      <c r="J106" s="129"/>
      <c r="K106" s="129"/>
      <c r="L106" s="129"/>
      <c r="M106" s="129"/>
      <c r="N106" s="129"/>
      <c r="O106" s="129"/>
      <c r="P106" s="129"/>
      <c r="Q106" s="129"/>
      <c r="R106" s="129"/>
      <c r="S106" s="129"/>
      <c r="T106" s="129"/>
      <c r="U106" s="129"/>
      <c r="V106" s="129"/>
      <c r="W106" s="129"/>
      <c r="X106" s="129"/>
      <c r="Y106" s="129"/>
      <c r="Z106" s="129"/>
      <c r="AA106" s="129"/>
      <c r="AB106" s="129"/>
      <c r="AC106" s="129"/>
      <c r="AD106" s="129"/>
      <c r="AE106" s="129"/>
      <c r="AF106" s="129"/>
      <c r="AG106" s="129"/>
      <c r="AH106" s="129"/>
      <c r="AI106" s="129"/>
      <c r="AJ106" s="129"/>
      <c r="AK106" s="129"/>
      <c r="AL106" s="129"/>
      <c r="AM106" s="129"/>
      <c r="AN106" s="129"/>
      <c r="AO106" s="129"/>
      <c r="AP106" s="129"/>
      <c r="AQ106" s="129"/>
      <c r="AR106" s="129"/>
      <c r="AS106" s="129"/>
      <c r="AT106" s="129"/>
      <c r="AU106" s="129"/>
      <c r="AV106" s="129"/>
      <c r="AW106" s="129"/>
      <c r="AX106" s="129"/>
      <c r="AY106" s="129"/>
      <c r="AZ106" s="129"/>
      <c r="BA106" s="129"/>
      <c r="BB106" s="129"/>
      <c r="BC106" s="129"/>
      <c r="BD106" s="129"/>
      <c r="BE106" s="129"/>
      <c r="BF106" s="129"/>
      <c r="BG106" s="129"/>
      <c r="BH106" s="129"/>
      <c r="BI106" s="129"/>
      <c r="BJ106" s="129"/>
      <c r="BK106" s="129"/>
      <c r="BL106" s="129"/>
      <c r="BM106" s="129"/>
      <c r="BN106" s="129"/>
      <c r="BO106" s="129"/>
      <c r="BP106" s="129"/>
      <c r="BQ106" s="129"/>
      <c r="BR106" s="129"/>
      <c r="BS106" s="129"/>
      <c r="BT106" s="129"/>
      <c r="BU106" s="129"/>
      <c r="BV106" s="129"/>
      <c r="BW106" s="129"/>
      <c r="BX106" s="129"/>
      <c r="BY106" s="129"/>
      <c r="BZ106" s="129"/>
      <c r="CA106" s="129"/>
      <c r="CB106" s="129"/>
      <c r="CC106" s="129"/>
      <c r="CD106" s="129"/>
      <c r="CE106" s="129"/>
      <c r="CF106" s="129"/>
      <c r="CG106" s="129"/>
      <c r="CH106" s="129"/>
      <c r="CI106" s="129"/>
      <c r="CJ106" s="129"/>
      <c r="CK106" s="129"/>
      <c r="CL106" s="129"/>
      <c r="CM106" s="129"/>
      <c r="CN106" s="129"/>
      <c r="CO106" s="129"/>
      <c r="CP106" s="129"/>
      <c r="CQ106" s="129"/>
      <c r="CR106" s="129"/>
      <c r="CS106" s="129"/>
      <c r="CT106" s="129"/>
    </row>
    <row r="107" spans="2:98" s="120" customFormat="1">
      <c r="B107" s="2"/>
      <c r="C107" s="3"/>
      <c r="D107" s="2"/>
      <c r="E107" s="2"/>
      <c r="F107" s="3"/>
      <c r="G107" s="2"/>
      <c r="H107" s="129"/>
      <c r="I107" s="129"/>
      <c r="J107" s="129"/>
      <c r="K107" s="129"/>
      <c r="L107" s="129"/>
      <c r="M107" s="129"/>
      <c r="N107" s="129"/>
      <c r="O107" s="129"/>
      <c r="P107" s="129"/>
      <c r="Q107" s="129"/>
      <c r="R107" s="129"/>
      <c r="S107" s="129"/>
      <c r="T107" s="129"/>
      <c r="U107" s="129"/>
      <c r="V107" s="129"/>
      <c r="W107" s="129"/>
      <c r="X107" s="129"/>
      <c r="Y107" s="129"/>
      <c r="Z107" s="129"/>
      <c r="AA107" s="129"/>
      <c r="AB107" s="129"/>
      <c r="AC107" s="129"/>
      <c r="AD107" s="129"/>
      <c r="AE107" s="129"/>
      <c r="AF107" s="129"/>
      <c r="AG107" s="129"/>
      <c r="AH107" s="129"/>
      <c r="AI107" s="129"/>
      <c r="AJ107" s="129"/>
      <c r="AK107" s="129"/>
      <c r="AL107" s="129"/>
      <c r="AM107" s="129"/>
      <c r="AN107" s="129"/>
      <c r="AO107" s="129"/>
      <c r="AP107" s="129"/>
      <c r="AQ107" s="129"/>
      <c r="AR107" s="129"/>
      <c r="AS107" s="129"/>
      <c r="AT107" s="129"/>
      <c r="AU107" s="129"/>
      <c r="AV107" s="129"/>
      <c r="AW107" s="129"/>
      <c r="AX107" s="129"/>
      <c r="AY107" s="129"/>
      <c r="AZ107" s="129"/>
      <c r="BA107" s="129"/>
      <c r="BB107" s="129"/>
      <c r="BC107" s="129"/>
      <c r="BD107" s="129"/>
      <c r="BE107" s="129"/>
      <c r="BF107" s="129"/>
      <c r="BG107" s="129"/>
      <c r="BH107" s="129"/>
      <c r="BI107" s="129"/>
      <c r="BJ107" s="129"/>
      <c r="BK107" s="129"/>
      <c r="BL107" s="129"/>
      <c r="BM107" s="129"/>
      <c r="BN107" s="129"/>
      <c r="BO107" s="129"/>
      <c r="BP107" s="129"/>
      <c r="BQ107" s="129"/>
      <c r="BR107" s="129"/>
      <c r="BS107" s="129"/>
      <c r="BT107" s="129"/>
      <c r="BU107" s="129"/>
      <c r="BV107" s="129"/>
      <c r="BW107" s="129"/>
      <c r="BX107" s="129"/>
      <c r="BY107" s="129"/>
      <c r="BZ107" s="129"/>
      <c r="CA107" s="129"/>
      <c r="CB107" s="129"/>
      <c r="CC107" s="129"/>
      <c r="CD107" s="129"/>
      <c r="CE107" s="129"/>
      <c r="CF107" s="129"/>
      <c r="CG107" s="129"/>
      <c r="CH107" s="129"/>
      <c r="CI107" s="129"/>
      <c r="CJ107" s="129"/>
      <c r="CK107" s="129"/>
      <c r="CL107" s="129"/>
      <c r="CM107" s="129"/>
      <c r="CN107" s="129"/>
      <c r="CO107" s="129"/>
      <c r="CP107" s="129"/>
      <c r="CQ107" s="129"/>
      <c r="CR107" s="129"/>
      <c r="CS107" s="129"/>
      <c r="CT107" s="129"/>
    </row>
    <row r="108" spans="2:98" s="120" customFormat="1">
      <c r="B108" s="2"/>
      <c r="C108" s="3"/>
      <c r="D108" s="2"/>
      <c r="E108" s="2"/>
      <c r="F108" s="3"/>
      <c r="G108" s="2"/>
      <c r="H108" s="129"/>
      <c r="I108" s="129"/>
      <c r="J108" s="129"/>
      <c r="K108" s="129"/>
      <c r="L108" s="129"/>
      <c r="M108" s="129"/>
      <c r="N108" s="129"/>
      <c r="O108" s="129"/>
      <c r="P108" s="129"/>
      <c r="Q108" s="129"/>
      <c r="R108" s="129"/>
      <c r="S108" s="129"/>
      <c r="T108" s="129"/>
      <c r="U108" s="129"/>
      <c r="V108" s="129"/>
      <c r="W108" s="129"/>
      <c r="X108" s="129"/>
      <c r="Y108" s="129"/>
      <c r="Z108" s="129"/>
      <c r="AA108" s="129"/>
      <c r="AB108" s="129"/>
      <c r="AC108" s="129"/>
      <c r="AD108" s="129"/>
      <c r="AE108" s="129"/>
      <c r="AF108" s="129"/>
      <c r="AG108" s="129"/>
      <c r="AH108" s="129"/>
      <c r="AI108" s="129"/>
      <c r="AJ108" s="129"/>
      <c r="AK108" s="129"/>
      <c r="AL108" s="129"/>
      <c r="AM108" s="129"/>
      <c r="AN108" s="129"/>
      <c r="AO108" s="129"/>
      <c r="AP108" s="129"/>
      <c r="AQ108" s="129"/>
      <c r="AR108" s="129"/>
      <c r="AS108" s="129"/>
      <c r="AT108" s="129"/>
      <c r="AU108" s="129"/>
      <c r="AV108" s="129"/>
      <c r="AW108" s="129"/>
      <c r="AX108" s="129"/>
      <c r="AY108" s="129"/>
      <c r="AZ108" s="129"/>
      <c r="BA108" s="129"/>
      <c r="BB108" s="129"/>
      <c r="BC108" s="129"/>
      <c r="BD108" s="129"/>
      <c r="BE108" s="129"/>
      <c r="BF108" s="129"/>
      <c r="BG108" s="129"/>
      <c r="BH108" s="129"/>
      <c r="BI108" s="129"/>
      <c r="BJ108" s="129"/>
      <c r="BK108" s="129"/>
      <c r="BL108" s="129"/>
      <c r="BM108" s="129"/>
      <c r="BN108" s="129"/>
      <c r="BO108" s="129"/>
      <c r="BP108" s="129"/>
      <c r="BQ108" s="129"/>
      <c r="BR108" s="129"/>
      <c r="BS108" s="129"/>
      <c r="BT108" s="129"/>
      <c r="BU108" s="129"/>
      <c r="BV108" s="129"/>
      <c r="BW108" s="129"/>
      <c r="BX108" s="129"/>
      <c r="BY108" s="129"/>
      <c r="BZ108" s="129"/>
      <c r="CA108" s="129"/>
      <c r="CB108" s="129"/>
      <c r="CC108" s="129"/>
      <c r="CD108" s="129"/>
      <c r="CE108" s="129"/>
      <c r="CF108" s="129"/>
      <c r="CG108" s="129"/>
      <c r="CH108" s="129"/>
      <c r="CI108" s="129"/>
      <c r="CJ108" s="129"/>
      <c r="CK108" s="129"/>
      <c r="CL108" s="129"/>
      <c r="CM108" s="129"/>
      <c r="CN108" s="129"/>
      <c r="CO108" s="129"/>
      <c r="CP108" s="129"/>
      <c r="CQ108" s="129"/>
      <c r="CR108" s="129"/>
      <c r="CS108" s="129"/>
      <c r="CT108" s="129"/>
    </row>
    <row r="109" spans="2:98" s="120" customFormat="1">
      <c r="B109" s="2"/>
      <c r="C109" s="3"/>
      <c r="D109" s="2"/>
      <c r="E109" s="2"/>
      <c r="F109" s="3"/>
      <c r="G109" s="2"/>
      <c r="H109" s="129"/>
      <c r="I109" s="129"/>
      <c r="J109" s="129"/>
      <c r="K109" s="129"/>
      <c r="L109" s="129"/>
      <c r="M109" s="129"/>
      <c r="N109" s="129"/>
      <c r="O109" s="129"/>
      <c r="P109" s="129"/>
      <c r="Q109" s="129"/>
      <c r="R109" s="129"/>
      <c r="S109" s="129"/>
      <c r="T109" s="129"/>
      <c r="U109" s="129"/>
      <c r="V109" s="129"/>
      <c r="W109" s="129"/>
      <c r="X109" s="129"/>
      <c r="Y109" s="129"/>
      <c r="Z109" s="129"/>
      <c r="AA109" s="129"/>
      <c r="AB109" s="129"/>
      <c r="AC109" s="129"/>
      <c r="AD109" s="129"/>
      <c r="AE109" s="129"/>
      <c r="AF109" s="129"/>
      <c r="AG109" s="129"/>
      <c r="AH109" s="129"/>
      <c r="AI109" s="129"/>
      <c r="AJ109" s="129"/>
      <c r="AK109" s="129"/>
      <c r="AL109" s="129"/>
      <c r="AM109" s="129"/>
      <c r="AN109" s="129"/>
      <c r="AO109" s="129"/>
      <c r="AP109" s="129"/>
      <c r="AQ109" s="129"/>
      <c r="AR109" s="129"/>
      <c r="AS109" s="129"/>
      <c r="AT109" s="129"/>
      <c r="AU109" s="129"/>
      <c r="AV109" s="129"/>
      <c r="AW109" s="129"/>
      <c r="AX109" s="129"/>
      <c r="AY109" s="129"/>
      <c r="AZ109" s="129"/>
      <c r="BA109" s="129"/>
      <c r="BB109" s="129"/>
      <c r="BC109" s="129"/>
      <c r="BD109" s="129"/>
      <c r="BE109" s="129"/>
      <c r="BF109" s="129"/>
      <c r="BG109" s="129"/>
      <c r="BH109" s="129"/>
      <c r="BI109" s="129"/>
      <c r="BJ109" s="129"/>
      <c r="BK109" s="129"/>
      <c r="BL109" s="129"/>
      <c r="BM109" s="129"/>
      <c r="BN109" s="129"/>
      <c r="BO109" s="129"/>
      <c r="BP109" s="129"/>
      <c r="BQ109" s="129"/>
      <c r="BR109" s="129"/>
      <c r="BS109" s="129"/>
      <c r="BT109" s="129"/>
      <c r="BU109" s="129"/>
      <c r="BV109" s="129"/>
      <c r="BW109" s="129"/>
      <c r="BX109" s="129"/>
      <c r="BY109" s="129"/>
      <c r="BZ109" s="129"/>
      <c r="CA109" s="129"/>
      <c r="CB109" s="129"/>
      <c r="CC109" s="129"/>
      <c r="CD109" s="129"/>
      <c r="CE109" s="129"/>
      <c r="CF109" s="129"/>
      <c r="CG109" s="129"/>
      <c r="CH109" s="129"/>
      <c r="CI109" s="129"/>
      <c r="CJ109" s="129"/>
      <c r="CK109" s="129"/>
      <c r="CL109" s="129"/>
      <c r="CM109" s="129"/>
      <c r="CN109" s="129"/>
      <c r="CO109" s="129"/>
      <c r="CP109" s="129"/>
      <c r="CQ109" s="129"/>
      <c r="CR109" s="129"/>
      <c r="CS109" s="129"/>
      <c r="CT109" s="129"/>
    </row>
    <row r="110" spans="2:98" s="120" customFormat="1">
      <c r="B110" s="2"/>
      <c r="C110" s="3"/>
      <c r="D110" s="2"/>
      <c r="E110" s="2"/>
      <c r="F110" s="3"/>
      <c r="G110" s="2"/>
      <c r="H110" s="129"/>
      <c r="I110" s="129"/>
      <c r="J110" s="129"/>
      <c r="K110" s="129"/>
      <c r="L110" s="129"/>
      <c r="M110" s="129"/>
      <c r="N110" s="129"/>
      <c r="O110" s="129"/>
      <c r="P110" s="129"/>
      <c r="Q110" s="129"/>
      <c r="R110" s="129"/>
      <c r="S110" s="129"/>
      <c r="T110" s="129"/>
      <c r="U110" s="129"/>
      <c r="V110" s="129"/>
      <c r="W110" s="129"/>
      <c r="X110" s="129"/>
      <c r="Y110" s="129"/>
      <c r="Z110" s="129"/>
      <c r="AA110" s="129"/>
      <c r="AB110" s="129"/>
      <c r="AC110" s="129"/>
      <c r="AD110" s="129"/>
      <c r="AE110" s="129"/>
      <c r="AF110" s="129"/>
      <c r="AG110" s="129"/>
      <c r="AH110" s="129"/>
      <c r="AI110" s="129"/>
      <c r="AJ110" s="129"/>
      <c r="AK110" s="129"/>
      <c r="AL110" s="129"/>
      <c r="AM110" s="129"/>
      <c r="AN110" s="129"/>
      <c r="AO110" s="129"/>
      <c r="AP110" s="129"/>
      <c r="AQ110" s="129"/>
      <c r="AR110" s="129"/>
      <c r="AS110" s="129"/>
      <c r="AT110" s="129"/>
      <c r="AU110" s="129"/>
      <c r="AV110" s="129"/>
      <c r="AW110" s="129"/>
      <c r="AX110" s="129"/>
      <c r="AY110" s="129"/>
      <c r="AZ110" s="129"/>
      <c r="BA110" s="129"/>
      <c r="BB110" s="129"/>
      <c r="BC110" s="129"/>
      <c r="BD110" s="129"/>
      <c r="BE110" s="129"/>
      <c r="BF110" s="129"/>
      <c r="BG110" s="129"/>
      <c r="BH110" s="129"/>
      <c r="BI110" s="129"/>
      <c r="BJ110" s="129"/>
      <c r="BK110" s="129"/>
      <c r="BL110" s="129"/>
      <c r="BM110" s="129"/>
      <c r="BN110" s="129"/>
      <c r="BO110" s="129"/>
      <c r="BP110" s="129"/>
      <c r="BQ110" s="129"/>
      <c r="BR110" s="129"/>
      <c r="BS110" s="129"/>
      <c r="BT110" s="129"/>
      <c r="BU110" s="129"/>
      <c r="BV110" s="129"/>
      <c r="BW110" s="129"/>
      <c r="BX110" s="129"/>
      <c r="BY110" s="129"/>
      <c r="BZ110" s="129"/>
      <c r="CA110" s="129"/>
      <c r="CB110" s="129"/>
      <c r="CC110" s="129"/>
      <c r="CD110" s="129"/>
      <c r="CE110" s="129"/>
      <c r="CF110" s="129"/>
      <c r="CG110" s="129"/>
      <c r="CH110" s="129"/>
      <c r="CI110" s="129"/>
      <c r="CJ110" s="129"/>
      <c r="CK110" s="129"/>
      <c r="CL110" s="129"/>
      <c r="CM110" s="129"/>
      <c r="CN110" s="129"/>
      <c r="CO110" s="129"/>
      <c r="CP110" s="129"/>
      <c r="CQ110" s="129"/>
      <c r="CR110" s="129"/>
      <c r="CS110" s="129"/>
      <c r="CT110" s="129"/>
    </row>
    <row r="111" spans="2:98" s="120" customFormat="1">
      <c r="B111" s="2"/>
      <c r="C111" s="3"/>
      <c r="D111" s="2"/>
      <c r="E111" s="2"/>
      <c r="F111" s="3"/>
      <c r="G111" s="2"/>
      <c r="H111" s="129"/>
      <c r="I111" s="129"/>
      <c r="J111" s="129"/>
      <c r="K111" s="129"/>
      <c r="L111" s="129"/>
      <c r="M111" s="129"/>
      <c r="N111" s="129"/>
      <c r="O111" s="129"/>
      <c r="P111" s="129"/>
      <c r="Q111" s="129"/>
      <c r="R111" s="129"/>
      <c r="S111" s="129"/>
      <c r="T111" s="129"/>
      <c r="U111" s="129"/>
      <c r="V111" s="129"/>
      <c r="W111" s="129"/>
      <c r="X111" s="129"/>
      <c r="Y111" s="129"/>
      <c r="Z111" s="129"/>
      <c r="AA111" s="129"/>
      <c r="AB111" s="129"/>
      <c r="AC111" s="129"/>
      <c r="AD111" s="129"/>
      <c r="AE111" s="129"/>
      <c r="AF111" s="129"/>
      <c r="AG111" s="129"/>
      <c r="AH111" s="129"/>
      <c r="AI111" s="129"/>
      <c r="AJ111" s="129"/>
      <c r="AK111" s="129"/>
      <c r="AL111" s="129"/>
      <c r="AM111" s="129"/>
      <c r="AN111" s="129"/>
      <c r="AO111" s="129"/>
      <c r="AP111" s="129"/>
      <c r="AQ111" s="129"/>
      <c r="AR111" s="129"/>
      <c r="AS111" s="129"/>
      <c r="AT111" s="129"/>
      <c r="AU111" s="129"/>
      <c r="AV111" s="129"/>
      <c r="AW111" s="129"/>
      <c r="AX111" s="129"/>
      <c r="AY111" s="129"/>
      <c r="AZ111" s="129"/>
      <c r="BA111" s="129"/>
      <c r="BB111" s="129"/>
      <c r="BC111" s="129"/>
      <c r="BD111" s="129"/>
      <c r="BE111" s="129"/>
      <c r="BF111" s="129"/>
      <c r="BG111" s="129"/>
      <c r="BH111" s="129"/>
      <c r="BI111" s="129"/>
      <c r="BJ111" s="129"/>
      <c r="BK111" s="129"/>
      <c r="BL111" s="129"/>
      <c r="BM111" s="129"/>
      <c r="BN111" s="129"/>
      <c r="BO111" s="129"/>
      <c r="BP111" s="129"/>
      <c r="BQ111" s="129"/>
      <c r="BR111" s="129"/>
      <c r="BS111" s="129"/>
      <c r="BT111" s="129"/>
      <c r="BU111" s="129"/>
      <c r="BV111" s="129"/>
      <c r="BW111" s="129"/>
      <c r="BX111" s="129"/>
      <c r="BY111" s="129"/>
      <c r="BZ111" s="129"/>
      <c r="CA111" s="129"/>
      <c r="CB111" s="129"/>
      <c r="CC111" s="129"/>
      <c r="CD111" s="129"/>
      <c r="CE111" s="129"/>
      <c r="CF111" s="129"/>
      <c r="CG111" s="129"/>
      <c r="CH111" s="129"/>
      <c r="CI111" s="129"/>
      <c r="CJ111" s="129"/>
      <c r="CK111" s="129"/>
      <c r="CL111" s="129"/>
      <c r="CM111" s="129"/>
      <c r="CN111" s="129"/>
      <c r="CO111" s="129"/>
      <c r="CP111" s="129"/>
      <c r="CQ111" s="129"/>
      <c r="CR111" s="129"/>
      <c r="CS111" s="129"/>
      <c r="CT111" s="129"/>
    </row>
    <row r="112" spans="2:98" s="120" customFormat="1">
      <c r="B112" s="2"/>
      <c r="C112" s="3"/>
      <c r="D112" s="2"/>
      <c r="E112" s="2"/>
      <c r="F112" s="3"/>
      <c r="G112" s="2"/>
      <c r="H112" s="129"/>
      <c r="I112" s="129"/>
      <c r="J112" s="129"/>
      <c r="K112" s="129"/>
      <c r="L112" s="129"/>
      <c r="M112" s="129"/>
      <c r="N112" s="129"/>
      <c r="O112" s="129"/>
      <c r="P112" s="129"/>
      <c r="Q112" s="129"/>
      <c r="R112" s="129"/>
      <c r="S112" s="129"/>
      <c r="T112" s="129"/>
      <c r="U112" s="129"/>
      <c r="V112" s="129"/>
      <c r="W112" s="129"/>
      <c r="X112" s="129"/>
      <c r="Y112" s="129"/>
      <c r="Z112" s="129"/>
      <c r="AA112" s="129"/>
      <c r="AB112" s="129"/>
      <c r="AC112" s="129"/>
      <c r="AD112" s="129"/>
      <c r="AE112" s="129"/>
      <c r="AF112" s="129"/>
      <c r="AG112" s="129"/>
      <c r="AH112" s="129"/>
      <c r="AI112" s="129"/>
      <c r="AJ112" s="129"/>
      <c r="AK112" s="129"/>
      <c r="AL112" s="129"/>
      <c r="AM112" s="129"/>
      <c r="AN112" s="129"/>
      <c r="AO112" s="129"/>
      <c r="AP112" s="129"/>
      <c r="AQ112" s="129"/>
      <c r="AR112" s="129"/>
      <c r="AS112" s="129"/>
      <c r="AT112" s="129"/>
      <c r="AU112" s="129"/>
      <c r="AV112" s="129"/>
      <c r="AW112" s="129"/>
      <c r="AX112" s="129"/>
      <c r="AY112" s="129"/>
      <c r="AZ112" s="129"/>
      <c r="BA112" s="129"/>
      <c r="BB112" s="129"/>
      <c r="BC112" s="129"/>
      <c r="BD112" s="129"/>
      <c r="BE112" s="129"/>
      <c r="BF112" s="129"/>
      <c r="BG112" s="129"/>
      <c r="BH112" s="129"/>
      <c r="BI112" s="129"/>
      <c r="BJ112" s="129"/>
      <c r="BK112" s="129"/>
      <c r="BL112" s="129"/>
      <c r="BM112" s="129"/>
      <c r="BN112" s="129"/>
      <c r="BO112" s="129"/>
      <c r="BP112" s="129"/>
      <c r="BQ112" s="129"/>
      <c r="BR112" s="129"/>
      <c r="BS112" s="129"/>
      <c r="BT112" s="129"/>
      <c r="BU112" s="129"/>
      <c r="BV112" s="129"/>
      <c r="BW112" s="129"/>
      <c r="BX112" s="129"/>
      <c r="BY112" s="129"/>
      <c r="BZ112" s="129"/>
      <c r="CA112" s="129"/>
      <c r="CB112" s="129"/>
      <c r="CC112" s="129"/>
      <c r="CD112" s="129"/>
      <c r="CE112" s="129"/>
      <c r="CF112" s="129"/>
      <c r="CG112" s="129"/>
      <c r="CH112" s="129"/>
      <c r="CI112" s="129"/>
      <c r="CJ112" s="129"/>
      <c r="CK112" s="129"/>
      <c r="CL112" s="129"/>
      <c r="CM112" s="129"/>
      <c r="CN112" s="129"/>
      <c r="CO112" s="129"/>
      <c r="CP112" s="129"/>
      <c r="CQ112" s="129"/>
      <c r="CR112" s="129"/>
      <c r="CS112" s="129"/>
      <c r="CT112" s="129"/>
    </row>
    <row r="113" spans="2:98" s="120" customFormat="1">
      <c r="B113" s="2"/>
      <c r="C113" s="3"/>
      <c r="D113" s="2"/>
      <c r="E113" s="2"/>
      <c r="F113" s="3"/>
      <c r="G113" s="2"/>
      <c r="H113" s="129"/>
      <c r="I113" s="129"/>
      <c r="J113" s="129"/>
      <c r="K113" s="129"/>
      <c r="L113" s="129"/>
      <c r="M113" s="129"/>
      <c r="N113" s="129"/>
      <c r="O113" s="129"/>
      <c r="P113" s="129"/>
      <c r="Q113" s="129"/>
      <c r="R113" s="129"/>
      <c r="S113" s="129"/>
      <c r="T113" s="129"/>
      <c r="U113" s="129"/>
      <c r="V113" s="129"/>
      <c r="W113" s="129"/>
      <c r="X113" s="129"/>
      <c r="Y113" s="129"/>
      <c r="Z113" s="129"/>
      <c r="AA113" s="129"/>
      <c r="AB113" s="129"/>
      <c r="AC113" s="129"/>
      <c r="AD113" s="129"/>
      <c r="AE113" s="129"/>
      <c r="AF113" s="129"/>
      <c r="AG113" s="129"/>
      <c r="AH113" s="129"/>
      <c r="AI113" s="129"/>
      <c r="AJ113" s="129"/>
      <c r="AK113" s="129"/>
      <c r="AL113" s="129"/>
      <c r="AM113" s="129"/>
      <c r="AN113" s="129"/>
      <c r="AO113" s="129"/>
      <c r="AP113" s="129"/>
      <c r="AQ113" s="129"/>
      <c r="AR113" s="129"/>
      <c r="AS113" s="129"/>
      <c r="AT113" s="129"/>
      <c r="AU113" s="129"/>
      <c r="AV113" s="129"/>
      <c r="AW113" s="129"/>
      <c r="AX113" s="129"/>
      <c r="AY113" s="129"/>
      <c r="AZ113" s="129"/>
      <c r="BA113" s="129"/>
      <c r="BB113" s="129"/>
      <c r="BC113" s="129"/>
      <c r="BD113" s="129"/>
      <c r="BE113" s="129"/>
      <c r="BF113" s="129"/>
      <c r="BG113" s="129"/>
      <c r="BH113" s="129"/>
      <c r="BI113" s="129"/>
      <c r="BJ113" s="129"/>
      <c r="BK113" s="129"/>
      <c r="BL113" s="129"/>
      <c r="BM113" s="129"/>
      <c r="BN113" s="129"/>
      <c r="BO113" s="129"/>
      <c r="BP113" s="129"/>
      <c r="BQ113" s="129"/>
      <c r="BR113" s="129"/>
      <c r="BS113" s="129"/>
      <c r="BT113" s="129"/>
      <c r="BU113" s="129"/>
      <c r="BV113" s="129"/>
      <c r="BW113" s="129"/>
      <c r="BX113" s="129"/>
      <c r="BY113" s="129"/>
      <c r="BZ113" s="129"/>
      <c r="CA113" s="129"/>
      <c r="CB113" s="129"/>
      <c r="CC113" s="129"/>
      <c r="CD113" s="129"/>
      <c r="CE113" s="129"/>
      <c r="CF113" s="129"/>
      <c r="CG113" s="129"/>
      <c r="CH113" s="129"/>
      <c r="CI113" s="129"/>
      <c r="CJ113" s="129"/>
      <c r="CK113" s="129"/>
      <c r="CL113" s="129"/>
      <c r="CM113" s="129"/>
      <c r="CN113" s="129"/>
      <c r="CO113" s="129"/>
      <c r="CP113" s="129"/>
      <c r="CQ113" s="129"/>
      <c r="CR113" s="129"/>
      <c r="CS113" s="129"/>
      <c r="CT113" s="129"/>
    </row>
    <row r="114" spans="2:98" s="120" customFormat="1">
      <c r="B114" s="2"/>
      <c r="C114" s="3"/>
      <c r="D114" s="2"/>
      <c r="E114" s="2"/>
      <c r="F114" s="3"/>
      <c r="G114" s="2"/>
      <c r="H114" s="129"/>
      <c r="I114" s="129"/>
      <c r="J114" s="129"/>
      <c r="K114" s="129"/>
      <c r="L114" s="129"/>
      <c r="M114" s="129"/>
      <c r="N114" s="129"/>
      <c r="O114" s="129"/>
      <c r="P114" s="129"/>
      <c r="Q114" s="129"/>
      <c r="R114" s="129"/>
      <c r="S114" s="129"/>
      <c r="T114" s="129"/>
      <c r="U114" s="129"/>
      <c r="V114" s="129"/>
      <c r="W114" s="129"/>
      <c r="X114" s="129"/>
      <c r="Y114" s="129"/>
      <c r="Z114" s="129"/>
      <c r="AA114" s="129"/>
      <c r="AB114" s="129"/>
      <c r="AC114" s="129"/>
      <c r="AD114" s="129"/>
      <c r="AE114" s="129"/>
      <c r="AF114" s="129"/>
      <c r="AG114" s="129"/>
      <c r="AH114" s="129"/>
      <c r="AI114" s="129"/>
      <c r="AJ114" s="129"/>
      <c r="AK114" s="129"/>
      <c r="AL114" s="129"/>
      <c r="AM114" s="129"/>
      <c r="AN114" s="129"/>
      <c r="AO114" s="129"/>
      <c r="AP114" s="129"/>
      <c r="AQ114" s="129"/>
      <c r="AR114" s="129"/>
      <c r="AS114" s="129"/>
      <c r="AT114" s="129"/>
      <c r="AU114" s="129"/>
      <c r="AV114" s="129"/>
      <c r="AW114" s="129"/>
      <c r="AX114" s="129"/>
      <c r="AY114" s="129"/>
      <c r="AZ114" s="129"/>
      <c r="BA114" s="129"/>
      <c r="BB114" s="129"/>
      <c r="BC114" s="129"/>
      <c r="BD114" s="129"/>
      <c r="BE114" s="129"/>
      <c r="BF114" s="129"/>
      <c r="BG114" s="129"/>
      <c r="BH114" s="129"/>
      <c r="BI114" s="129"/>
      <c r="BJ114" s="129"/>
      <c r="BK114" s="129"/>
      <c r="BL114" s="129"/>
      <c r="BM114" s="129"/>
      <c r="BN114" s="129"/>
      <c r="BO114" s="129"/>
      <c r="BP114" s="129"/>
      <c r="BQ114" s="129"/>
      <c r="BR114" s="129"/>
      <c r="BS114" s="129"/>
      <c r="BT114" s="129"/>
      <c r="BU114" s="129"/>
      <c r="BV114" s="129"/>
      <c r="BW114" s="129"/>
      <c r="BX114" s="129"/>
      <c r="BY114" s="129"/>
      <c r="BZ114" s="129"/>
      <c r="CA114" s="129"/>
      <c r="CB114" s="129"/>
      <c r="CC114" s="129"/>
      <c r="CD114" s="129"/>
      <c r="CE114" s="129"/>
      <c r="CF114" s="129"/>
      <c r="CG114" s="129"/>
      <c r="CH114" s="129"/>
      <c r="CI114" s="129"/>
      <c r="CJ114" s="129"/>
      <c r="CK114" s="129"/>
      <c r="CL114" s="129"/>
      <c r="CM114" s="129"/>
      <c r="CN114" s="129"/>
      <c r="CO114" s="129"/>
      <c r="CP114" s="129"/>
      <c r="CQ114" s="129"/>
      <c r="CR114" s="129"/>
      <c r="CS114" s="129"/>
      <c r="CT114" s="129"/>
    </row>
    <row r="115" spans="2:98" s="120" customFormat="1">
      <c r="B115" s="2"/>
      <c r="C115" s="3"/>
      <c r="D115" s="2"/>
      <c r="E115" s="2"/>
      <c r="F115" s="3"/>
      <c r="G115" s="2"/>
      <c r="H115" s="129"/>
      <c r="I115" s="129"/>
      <c r="J115" s="129"/>
      <c r="K115" s="129"/>
      <c r="L115" s="129"/>
      <c r="M115" s="129"/>
      <c r="N115" s="129"/>
      <c r="O115" s="129"/>
      <c r="P115" s="129"/>
      <c r="Q115" s="129"/>
      <c r="R115" s="129"/>
      <c r="S115" s="129"/>
      <c r="T115" s="129"/>
      <c r="U115" s="129"/>
      <c r="V115" s="129"/>
      <c r="W115" s="129"/>
      <c r="X115" s="129"/>
      <c r="Y115" s="129"/>
      <c r="Z115" s="129"/>
      <c r="AA115" s="129"/>
      <c r="AB115" s="129"/>
      <c r="AC115" s="129"/>
      <c r="AD115" s="129"/>
      <c r="AE115" s="129"/>
      <c r="AF115" s="129"/>
      <c r="AG115" s="129"/>
      <c r="AH115" s="129"/>
      <c r="AI115" s="129"/>
      <c r="AJ115" s="129"/>
      <c r="AK115" s="129"/>
      <c r="AL115" s="129"/>
      <c r="AM115" s="129"/>
      <c r="AN115" s="129"/>
      <c r="AO115" s="129"/>
      <c r="AP115" s="129"/>
      <c r="AQ115" s="129"/>
      <c r="AR115" s="129"/>
      <c r="AS115" s="129"/>
      <c r="AT115" s="129"/>
      <c r="AU115" s="129"/>
      <c r="AV115" s="129"/>
      <c r="AW115" s="129"/>
      <c r="AX115" s="129"/>
      <c r="AY115" s="129"/>
      <c r="AZ115" s="129"/>
      <c r="BA115" s="129"/>
      <c r="BB115" s="129"/>
      <c r="BC115" s="129"/>
      <c r="BD115" s="129"/>
      <c r="BE115" s="129"/>
      <c r="BF115" s="129"/>
      <c r="BG115" s="129"/>
      <c r="BH115" s="129"/>
      <c r="BI115" s="129"/>
      <c r="BJ115" s="129"/>
      <c r="BK115" s="129"/>
      <c r="BL115" s="129"/>
      <c r="BM115" s="129"/>
      <c r="BN115" s="129"/>
      <c r="BO115" s="129"/>
      <c r="BP115" s="129"/>
      <c r="BQ115" s="129"/>
      <c r="BR115" s="129"/>
      <c r="BS115" s="129"/>
      <c r="BT115" s="129"/>
      <c r="BU115" s="129"/>
      <c r="BV115" s="129"/>
      <c r="BW115" s="129"/>
      <c r="BX115" s="129"/>
      <c r="BY115" s="129"/>
      <c r="BZ115" s="129"/>
      <c r="CA115" s="129"/>
      <c r="CB115" s="129"/>
      <c r="CC115" s="129"/>
      <c r="CD115" s="129"/>
      <c r="CE115" s="129"/>
      <c r="CF115" s="129"/>
      <c r="CG115" s="129"/>
      <c r="CH115" s="129"/>
      <c r="CI115" s="129"/>
      <c r="CJ115" s="129"/>
      <c r="CK115" s="129"/>
      <c r="CL115" s="129"/>
      <c r="CM115" s="129"/>
      <c r="CN115" s="129"/>
      <c r="CO115" s="129"/>
      <c r="CP115" s="129"/>
      <c r="CQ115" s="129"/>
      <c r="CR115" s="129"/>
      <c r="CS115" s="129"/>
      <c r="CT115" s="129"/>
    </row>
    <row r="116" spans="2:98" s="120" customFormat="1">
      <c r="B116" s="2"/>
      <c r="C116" s="3"/>
      <c r="D116" s="2"/>
      <c r="E116" s="2"/>
      <c r="F116" s="3"/>
      <c r="G116" s="2"/>
      <c r="H116" s="129"/>
      <c r="I116" s="129"/>
      <c r="J116" s="129"/>
      <c r="K116" s="129"/>
      <c r="L116" s="129"/>
      <c r="M116" s="129"/>
      <c r="N116" s="129"/>
      <c r="O116" s="129"/>
      <c r="P116" s="129"/>
      <c r="Q116" s="129"/>
      <c r="R116" s="129"/>
      <c r="S116" s="129"/>
      <c r="T116" s="129"/>
      <c r="U116" s="129"/>
      <c r="V116" s="129"/>
      <c r="W116" s="129"/>
      <c r="X116" s="129"/>
      <c r="Y116" s="129"/>
      <c r="Z116" s="129"/>
      <c r="AA116" s="129"/>
      <c r="AB116" s="129"/>
      <c r="AC116" s="129"/>
      <c r="AD116" s="129"/>
      <c r="AE116" s="129"/>
      <c r="AF116" s="129"/>
      <c r="AG116" s="129"/>
      <c r="AH116" s="129"/>
      <c r="AI116" s="129"/>
      <c r="AJ116" s="129"/>
      <c r="AK116" s="129"/>
      <c r="AL116" s="129"/>
      <c r="AM116" s="129"/>
      <c r="AN116" s="129"/>
      <c r="AO116" s="129"/>
      <c r="AP116" s="129"/>
      <c r="AQ116" s="129"/>
      <c r="AR116" s="129"/>
      <c r="AS116" s="129"/>
      <c r="AT116" s="129"/>
      <c r="AU116" s="129"/>
      <c r="AV116" s="129"/>
      <c r="AW116" s="129"/>
      <c r="AX116" s="129"/>
      <c r="AY116" s="129"/>
      <c r="AZ116" s="129"/>
      <c r="BA116" s="129"/>
      <c r="BB116" s="129"/>
      <c r="BC116" s="129"/>
      <c r="BD116" s="129"/>
      <c r="BE116" s="129"/>
      <c r="BF116" s="129"/>
      <c r="BG116" s="129"/>
      <c r="BH116" s="129"/>
      <c r="BI116" s="129"/>
      <c r="BJ116" s="129"/>
      <c r="BK116" s="129"/>
      <c r="BL116" s="129"/>
      <c r="BM116" s="129"/>
      <c r="BN116" s="129"/>
      <c r="BO116" s="129"/>
      <c r="BP116" s="129"/>
      <c r="BQ116" s="129"/>
      <c r="BR116" s="129"/>
      <c r="BS116" s="129"/>
      <c r="BT116" s="129"/>
      <c r="BU116" s="129"/>
      <c r="BV116" s="129"/>
      <c r="BW116" s="129"/>
      <c r="BX116" s="129"/>
      <c r="BY116" s="129"/>
      <c r="BZ116" s="129"/>
      <c r="CA116" s="129"/>
      <c r="CB116" s="129"/>
      <c r="CC116" s="129"/>
      <c r="CD116" s="129"/>
      <c r="CE116" s="129"/>
      <c r="CF116" s="129"/>
      <c r="CG116" s="129"/>
      <c r="CH116" s="129"/>
      <c r="CI116" s="129"/>
      <c r="CJ116" s="129"/>
      <c r="CK116" s="129"/>
      <c r="CL116" s="129"/>
      <c r="CM116" s="129"/>
      <c r="CN116" s="129"/>
      <c r="CO116" s="129"/>
      <c r="CP116" s="129"/>
      <c r="CQ116" s="129"/>
      <c r="CR116" s="129"/>
      <c r="CS116" s="129"/>
      <c r="CT116" s="129"/>
    </row>
    <row r="117" spans="2:98" s="120" customFormat="1">
      <c r="B117" s="2"/>
      <c r="C117" s="3"/>
      <c r="D117" s="2"/>
      <c r="E117" s="2"/>
      <c r="F117" s="3"/>
      <c r="G117" s="2"/>
      <c r="H117" s="129"/>
      <c r="I117" s="129"/>
      <c r="J117" s="129"/>
      <c r="K117" s="129"/>
      <c r="L117" s="129"/>
      <c r="M117" s="129"/>
      <c r="N117" s="129"/>
      <c r="O117" s="129"/>
      <c r="P117" s="129"/>
      <c r="Q117" s="129"/>
      <c r="R117" s="129"/>
      <c r="S117" s="129"/>
      <c r="T117" s="129"/>
      <c r="U117" s="129"/>
      <c r="V117" s="129"/>
      <c r="W117" s="129"/>
      <c r="X117" s="129"/>
      <c r="Y117" s="129"/>
      <c r="Z117" s="129"/>
      <c r="AA117" s="129"/>
      <c r="AB117" s="129"/>
      <c r="AC117" s="129"/>
      <c r="AD117" s="129"/>
      <c r="AE117" s="129"/>
      <c r="AF117" s="129"/>
      <c r="AG117" s="129"/>
      <c r="AH117" s="129"/>
      <c r="AI117" s="129"/>
      <c r="AJ117" s="129"/>
      <c r="AK117" s="129"/>
      <c r="AL117" s="129"/>
      <c r="AM117" s="129"/>
      <c r="AN117" s="129"/>
      <c r="AO117" s="129"/>
      <c r="AP117" s="129"/>
      <c r="AQ117" s="129"/>
      <c r="AR117" s="129"/>
      <c r="AS117" s="129"/>
      <c r="AT117" s="129"/>
      <c r="AU117" s="129"/>
      <c r="AV117" s="129"/>
      <c r="AW117" s="129"/>
      <c r="AX117" s="129"/>
      <c r="AY117" s="129"/>
      <c r="AZ117" s="129"/>
      <c r="BA117" s="129"/>
      <c r="BB117" s="129"/>
      <c r="BC117" s="129"/>
      <c r="BD117" s="129"/>
      <c r="BE117" s="129"/>
      <c r="BF117" s="129"/>
      <c r="BG117" s="129"/>
      <c r="BH117" s="129"/>
      <c r="BI117" s="129"/>
      <c r="BJ117" s="129"/>
      <c r="BK117" s="129"/>
      <c r="BL117" s="129"/>
      <c r="BM117" s="129"/>
      <c r="BN117" s="129"/>
      <c r="BO117" s="129"/>
      <c r="BP117" s="129"/>
      <c r="BQ117" s="129"/>
      <c r="BR117" s="129"/>
      <c r="BS117" s="129"/>
      <c r="BT117" s="129"/>
      <c r="BU117" s="129"/>
      <c r="BV117" s="129"/>
      <c r="BW117" s="129"/>
      <c r="BX117" s="129"/>
      <c r="BY117" s="129"/>
      <c r="BZ117" s="129"/>
      <c r="CA117" s="129"/>
      <c r="CB117" s="129"/>
      <c r="CC117" s="129"/>
      <c r="CD117" s="129"/>
      <c r="CE117" s="129"/>
      <c r="CF117" s="129"/>
      <c r="CG117" s="129"/>
      <c r="CH117" s="129"/>
      <c r="CI117" s="129"/>
      <c r="CJ117" s="129"/>
      <c r="CK117" s="129"/>
      <c r="CL117" s="129"/>
      <c r="CM117" s="129"/>
      <c r="CN117" s="129"/>
      <c r="CO117" s="129"/>
      <c r="CP117" s="129"/>
      <c r="CQ117" s="129"/>
      <c r="CR117" s="129"/>
      <c r="CS117" s="129"/>
      <c r="CT117" s="129"/>
    </row>
    <row r="118" spans="2:98" s="120" customFormat="1">
      <c r="B118" s="2"/>
      <c r="C118" s="3"/>
      <c r="D118" s="2"/>
      <c r="E118" s="2"/>
      <c r="F118" s="3"/>
      <c r="G118" s="2"/>
      <c r="H118" s="129"/>
      <c r="I118" s="129"/>
      <c r="J118" s="129"/>
      <c r="K118" s="129"/>
      <c r="L118" s="129"/>
      <c r="M118" s="129"/>
      <c r="N118" s="129"/>
      <c r="O118" s="129"/>
      <c r="P118" s="129"/>
      <c r="Q118" s="129"/>
      <c r="R118" s="129"/>
      <c r="S118" s="129"/>
      <c r="T118" s="129"/>
      <c r="U118" s="129"/>
      <c r="V118" s="129"/>
      <c r="W118" s="129"/>
      <c r="X118" s="129"/>
      <c r="Y118" s="129"/>
      <c r="Z118" s="129"/>
      <c r="AA118" s="129"/>
      <c r="AB118" s="129"/>
      <c r="AC118" s="129"/>
      <c r="AD118" s="129"/>
      <c r="AE118" s="129"/>
      <c r="AF118" s="129"/>
      <c r="AG118" s="129"/>
      <c r="AH118" s="129"/>
      <c r="AI118" s="129"/>
      <c r="AJ118" s="129"/>
      <c r="AK118" s="129"/>
      <c r="AL118" s="129"/>
      <c r="AM118" s="129"/>
      <c r="AN118" s="129"/>
      <c r="AO118" s="129"/>
      <c r="AP118" s="129"/>
      <c r="AQ118" s="129"/>
      <c r="AR118" s="129"/>
      <c r="AS118" s="129"/>
      <c r="AT118" s="129"/>
      <c r="AU118" s="129"/>
      <c r="AV118" s="129"/>
      <c r="AW118" s="129"/>
      <c r="AX118" s="129"/>
      <c r="AY118" s="129"/>
      <c r="AZ118" s="129"/>
      <c r="BA118" s="129"/>
      <c r="BB118" s="129"/>
      <c r="BC118" s="129"/>
      <c r="BD118" s="129"/>
      <c r="BE118" s="129"/>
      <c r="BF118" s="129"/>
      <c r="BG118" s="129"/>
      <c r="BH118" s="129"/>
      <c r="BI118" s="129"/>
      <c r="BJ118" s="129"/>
      <c r="BK118" s="129"/>
      <c r="BL118" s="129"/>
      <c r="BM118" s="129"/>
      <c r="BN118" s="129"/>
      <c r="BO118" s="129"/>
      <c r="BP118" s="129"/>
      <c r="BQ118" s="129"/>
      <c r="BR118" s="129"/>
      <c r="BS118" s="129"/>
      <c r="BT118" s="129"/>
      <c r="BU118" s="129"/>
      <c r="BV118" s="129"/>
      <c r="BW118" s="129"/>
      <c r="BX118" s="129"/>
      <c r="BY118" s="129"/>
      <c r="BZ118" s="129"/>
      <c r="CA118" s="129"/>
      <c r="CB118" s="129"/>
      <c r="CC118" s="129"/>
      <c r="CD118" s="129"/>
      <c r="CE118" s="129"/>
      <c r="CF118" s="129"/>
      <c r="CG118" s="129"/>
      <c r="CH118" s="129"/>
      <c r="CI118" s="129"/>
      <c r="CJ118" s="129"/>
      <c r="CK118" s="129"/>
      <c r="CL118" s="129"/>
      <c r="CM118" s="129"/>
      <c r="CN118" s="129"/>
      <c r="CO118" s="129"/>
      <c r="CP118" s="129"/>
      <c r="CQ118" s="129"/>
      <c r="CR118" s="129"/>
      <c r="CS118" s="129"/>
      <c r="CT118" s="129"/>
    </row>
    <row r="119" spans="2:98" s="120" customFormat="1">
      <c r="B119" s="2"/>
      <c r="C119" s="3"/>
      <c r="D119" s="2"/>
      <c r="E119" s="2"/>
      <c r="F119" s="3"/>
      <c r="G119" s="2"/>
      <c r="H119" s="129"/>
      <c r="I119" s="129"/>
      <c r="J119" s="129"/>
      <c r="K119" s="129"/>
      <c r="L119" s="129"/>
      <c r="M119" s="129"/>
      <c r="N119" s="129"/>
      <c r="O119" s="129"/>
      <c r="P119" s="129"/>
      <c r="Q119" s="129"/>
      <c r="R119" s="129"/>
      <c r="S119" s="129"/>
      <c r="T119" s="129"/>
      <c r="U119" s="129"/>
      <c r="V119" s="129"/>
      <c r="W119" s="129"/>
      <c r="X119" s="129"/>
      <c r="Y119" s="129"/>
      <c r="Z119" s="129"/>
      <c r="AA119" s="129"/>
      <c r="AB119" s="129"/>
      <c r="AC119" s="129"/>
      <c r="AD119" s="129"/>
      <c r="AE119" s="129"/>
      <c r="AF119" s="129"/>
      <c r="AG119" s="129"/>
      <c r="AH119" s="129"/>
      <c r="AI119" s="129"/>
      <c r="AJ119" s="129"/>
      <c r="AK119" s="129"/>
      <c r="AL119" s="129"/>
      <c r="AM119" s="129"/>
      <c r="AN119" s="129"/>
      <c r="AO119" s="129"/>
      <c r="AP119" s="129"/>
      <c r="AQ119" s="129"/>
      <c r="AR119" s="129"/>
      <c r="AS119" s="129"/>
      <c r="AT119" s="129"/>
      <c r="AU119" s="129"/>
      <c r="AV119" s="129"/>
      <c r="AW119" s="129"/>
      <c r="AX119" s="129"/>
      <c r="AY119" s="129"/>
      <c r="AZ119" s="129"/>
      <c r="BA119" s="129"/>
      <c r="BB119" s="129"/>
      <c r="BC119" s="129"/>
      <c r="BD119" s="129"/>
      <c r="BE119" s="129"/>
      <c r="BF119" s="129"/>
      <c r="BG119" s="129"/>
      <c r="BH119" s="129"/>
      <c r="BI119" s="129"/>
      <c r="BJ119" s="129"/>
      <c r="BK119" s="129"/>
      <c r="BL119" s="129"/>
      <c r="BM119" s="129"/>
      <c r="BN119" s="129"/>
      <c r="BO119" s="129"/>
      <c r="BP119" s="129"/>
      <c r="BQ119" s="129"/>
      <c r="BR119" s="129"/>
      <c r="BS119" s="129"/>
      <c r="BT119" s="129"/>
      <c r="BU119" s="129"/>
      <c r="BV119" s="129"/>
      <c r="BW119" s="129"/>
      <c r="BX119" s="129"/>
      <c r="BY119" s="129"/>
      <c r="BZ119" s="129"/>
      <c r="CA119" s="129"/>
      <c r="CB119" s="129"/>
      <c r="CC119" s="129"/>
      <c r="CD119" s="129"/>
      <c r="CE119" s="129"/>
      <c r="CF119" s="129"/>
      <c r="CG119" s="129"/>
      <c r="CH119" s="129"/>
      <c r="CI119" s="129"/>
      <c r="CJ119" s="129"/>
      <c r="CK119" s="129"/>
      <c r="CL119" s="129"/>
      <c r="CM119" s="129"/>
      <c r="CN119" s="129"/>
      <c r="CO119" s="129"/>
      <c r="CP119" s="129"/>
      <c r="CQ119" s="129"/>
      <c r="CR119" s="129"/>
      <c r="CS119" s="129"/>
      <c r="CT119" s="129"/>
    </row>
    <row r="120" spans="2:98" s="120" customFormat="1">
      <c r="B120" s="2"/>
      <c r="C120" s="3"/>
      <c r="D120" s="2"/>
      <c r="E120" s="2"/>
      <c r="F120" s="3"/>
      <c r="G120" s="2"/>
      <c r="H120" s="129"/>
      <c r="I120" s="129"/>
      <c r="J120" s="129"/>
      <c r="K120" s="129"/>
      <c r="L120" s="129"/>
      <c r="M120" s="129"/>
      <c r="N120" s="129"/>
      <c r="O120" s="129"/>
      <c r="P120" s="129"/>
      <c r="Q120" s="129"/>
      <c r="R120" s="129"/>
      <c r="S120" s="129"/>
      <c r="T120" s="129"/>
      <c r="U120" s="129"/>
      <c r="V120" s="129"/>
      <c r="W120" s="129"/>
      <c r="X120" s="129"/>
      <c r="Y120" s="129"/>
      <c r="Z120" s="129"/>
      <c r="AA120" s="129"/>
      <c r="AB120" s="129"/>
      <c r="AC120" s="129"/>
      <c r="AD120" s="129"/>
      <c r="AE120" s="129"/>
      <c r="AF120" s="129"/>
      <c r="AG120" s="129"/>
      <c r="AH120" s="129"/>
      <c r="AI120" s="129"/>
      <c r="AJ120" s="129"/>
      <c r="AK120" s="129"/>
      <c r="AL120" s="129"/>
      <c r="AM120" s="129"/>
      <c r="AN120" s="129"/>
      <c r="AO120" s="129"/>
      <c r="AP120" s="129"/>
      <c r="AQ120" s="129"/>
      <c r="AR120" s="129"/>
      <c r="AS120" s="129"/>
      <c r="AT120" s="129"/>
      <c r="AU120" s="129"/>
      <c r="AV120" s="129"/>
      <c r="AW120" s="129"/>
      <c r="AX120" s="129"/>
      <c r="AY120" s="129"/>
      <c r="AZ120" s="129"/>
      <c r="BA120" s="129"/>
      <c r="BB120" s="129"/>
      <c r="BC120" s="129"/>
      <c r="BD120" s="129"/>
      <c r="BE120" s="129"/>
      <c r="BF120" s="129"/>
      <c r="BG120" s="129"/>
      <c r="BH120" s="129"/>
      <c r="BI120" s="129"/>
      <c r="BJ120" s="129"/>
      <c r="BK120" s="129"/>
      <c r="BL120" s="129"/>
      <c r="BM120" s="129"/>
      <c r="BN120" s="129"/>
      <c r="BO120" s="129"/>
      <c r="BP120" s="129"/>
      <c r="BQ120" s="129"/>
      <c r="BR120" s="129"/>
      <c r="BS120" s="129"/>
      <c r="BT120" s="129"/>
      <c r="BU120" s="129"/>
      <c r="BV120" s="129"/>
      <c r="BW120" s="129"/>
      <c r="BX120" s="129"/>
      <c r="BY120" s="129"/>
      <c r="BZ120" s="129"/>
      <c r="CA120" s="129"/>
      <c r="CB120" s="129"/>
      <c r="CC120" s="129"/>
      <c r="CD120" s="129"/>
      <c r="CE120" s="129"/>
      <c r="CF120" s="129"/>
      <c r="CG120" s="129"/>
      <c r="CH120" s="129"/>
      <c r="CI120" s="129"/>
      <c r="CJ120" s="129"/>
      <c r="CK120" s="129"/>
      <c r="CL120" s="129"/>
      <c r="CM120" s="129"/>
      <c r="CN120" s="129"/>
      <c r="CO120" s="129"/>
      <c r="CP120" s="129"/>
      <c r="CQ120" s="129"/>
      <c r="CR120" s="129"/>
      <c r="CS120" s="129"/>
      <c r="CT120" s="129"/>
    </row>
    <row r="121" spans="2:98" s="120" customFormat="1">
      <c r="B121" s="2"/>
      <c r="C121" s="3"/>
      <c r="D121" s="2"/>
      <c r="E121" s="2"/>
      <c r="F121" s="3"/>
      <c r="G121" s="2"/>
      <c r="H121" s="129"/>
      <c r="I121" s="129"/>
      <c r="J121" s="129"/>
      <c r="K121" s="129"/>
      <c r="L121" s="129"/>
      <c r="M121" s="129"/>
      <c r="N121" s="129"/>
      <c r="O121" s="129"/>
      <c r="P121" s="129"/>
      <c r="Q121" s="129"/>
      <c r="R121" s="129"/>
      <c r="S121" s="129"/>
      <c r="T121" s="129"/>
      <c r="U121" s="129"/>
      <c r="V121" s="129"/>
      <c r="W121" s="129"/>
      <c r="X121" s="129"/>
      <c r="Y121" s="129"/>
      <c r="Z121" s="129"/>
      <c r="AA121" s="129"/>
      <c r="AB121" s="129"/>
      <c r="AC121" s="129"/>
      <c r="AD121" s="129"/>
      <c r="AE121" s="129"/>
      <c r="AF121" s="129"/>
      <c r="AG121" s="129"/>
      <c r="AH121" s="129"/>
      <c r="AI121" s="129"/>
      <c r="AJ121" s="129"/>
      <c r="AK121" s="129"/>
      <c r="AL121" s="129"/>
      <c r="AM121" s="129"/>
      <c r="AN121" s="129"/>
      <c r="AO121" s="129"/>
      <c r="AP121" s="129"/>
      <c r="AQ121" s="129"/>
      <c r="AR121" s="129"/>
      <c r="AS121" s="129"/>
      <c r="AT121" s="129"/>
      <c r="AU121" s="129"/>
      <c r="AV121" s="129"/>
      <c r="AW121" s="129"/>
      <c r="AX121" s="129"/>
      <c r="AY121" s="129"/>
      <c r="AZ121" s="129"/>
      <c r="BA121" s="129"/>
      <c r="BB121" s="129"/>
      <c r="BC121" s="129"/>
      <c r="BD121" s="129"/>
      <c r="BE121" s="129"/>
      <c r="BF121" s="129"/>
      <c r="BG121" s="129"/>
      <c r="BH121" s="129"/>
      <c r="BI121" s="129"/>
      <c r="BJ121" s="129"/>
      <c r="BK121" s="129"/>
      <c r="BL121" s="129"/>
      <c r="BM121" s="129"/>
      <c r="BN121" s="129"/>
      <c r="BO121" s="129"/>
      <c r="BP121" s="129"/>
      <c r="BQ121" s="129"/>
      <c r="BR121" s="129"/>
      <c r="BS121" s="129"/>
      <c r="BT121" s="129"/>
      <c r="BU121" s="129"/>
      <c r="BV121" s="129"/>
      <c r="BW121" s="129"/>
      <c r="BX121" s="129"/>
      <c r="BY121" s="129"/>
      <c r="BZ121" s="129"/>
      <c r="CA121" s="129"/>
      <c r="CB121" s="129"/>
      <c r="CC121" s="129"/>
      <c r="CD121" s="129"/>
      <c r="CE121" s="129"/>
      <c r="CF121" s="129"/>
      <c r="CG121" s="129"/>
      <c r="CH121" s="129"/>
      <c r="CI121" s="129"/>
      <c r="CJ121" s="129"/>
      <c r="CK121" s="129"/>
      <c r="CL121" s="129"/>
      <c r="CM121" s="129"/>
      <c r="CN121" s="129"/>
      <c r="CO121" s="129"/>
      <c r="CP121" s="129"/>
      <c r="CQ121" s="129"/>
      <c r="CR121" s="129"/>
      <c r="CS121" s="129"/>
      <c r="CT121" s="129"/>
    </row>
    <row r="122" spans="2:98" s="120" customFormat="1">
      <c r="B122" s="2"/>
      <c r="C122" s="3"/>
      <c r="D122" s="2"/>
      <c r="E122" s="2"/>
      <c r="F122" s="3"/>
      <c r="G122" s="2"/>
      <c r="H122" s="129"/>
      <c r="I122" s="129"/>
      <c r="J122" s="129"/>
      <c r="K122" s="129"/>
      <c r="L122" s="129"/>
      <c r="M122" s="129"/>
      <c r="N122" s="129"/>
      <c r="O122" s="129"/>
      <c r="P122" s="129"/>
      <c r="Q122" s="129"/>
      <c r="R122" s="129"/>
      <c r="S122" s="129"/>
      <c r="T122" s="129"/>
      <c r="U122" s="129"/>
      <c r="V122" s="129"/>
      <c r="W122" s="129"/>
      <c r="X122" s="129"/>
      <c r="Y122" s="129"/>
      <c r="Z122" s="129"/>
      <c r="AA122" s="129"/>
      <c r="AB122" s="129"/>
      <c r="AC122" s="129"/>
      <c r="AD122" s="129"/>
      <c r="AE122" s="129"/>
      <c r="AF122" s="129"/>
      <c r="AG122" s="129"/>
      <c r="AH122" s="129"/>
      <c r="AI122" s="129"/>
      <c r="AJ122" s="129"/>
      <c r="AK122" s="129"/>
      <c r="AL122" s="129"/>
      <c r="AM122" s="129"/>
      <c r="AN122" s="129"/>
      <c r="AO122" s="129"/>
      <c r="AP122" s="129"/>
      <c r="AQ122" s="129"/>
      <c r="AR122" s="129"/>
      <c r="AS122" s="129"/>
      <c r="AT122" s="129"/>
      <c r="AU122" s="129"/>
      <c r="AV122" s="129"/>
      <c r="AW122" s="129"/>
      <c r="AX122" s="129"/>
      <c r="AY122" s="129"/>
      <c r="AZ122" s="129"/>
      <c r="BA122" s="129"/>
      <c r="BB122" s="129"/>
      <c r="BC122" s="129"/>
      <c r="BD122" s="129"/>
      <c r="BE122" s="129"/>
      <c r="BF122" s="129"/>
      <c r="BG122" s="129"/>
      <c r="BH122" s="129"/>
      <c r="BI122" s="129"/>
      <c r="BJ122" s="129"/>
      <c r="BK122" s="129"/>
      <c r="BL122" s="129"/>
      <c r="BM122" s="129"/>
      <c r="BN122" s="129"/>
      <c r="BO122" s="129"/>
      <c r="BP122" s="129"/>
      <c r="BQ122" s="129"/>
      <c r="BR122" s="129"/>
      <c r="BS122" s="129"/>
      <c r="BT122" s="129"/>
      <c r="BU122" s="129"/>
      <c r="BV122" s="129"/>
      <c r="BW122" s="129"/>
      <c r="BX122" s="129"/>
      <c r="BY122" s="129"/>
      <c r="BZ122" s="129"/>
      <c r="CA122" s="129"/>
      <c r="CB122" s="129"/>
      <c r="CC122" s="129"/>
      <c r="CD122" s="129"/>
      <c r="CE122" s="129"/>
      <c r="CF122" s="129"/>
      <c r="CG122" s="129"/>
      <c r="CH122" s="129"/>
      <c r="CI122" s="129"/>
      <c r="CJ122" s="129"/>
      <c r="CK122" s="129"/>
      <c r="CL122" s="129"/>
      <c r="CM122" s="129"/>
      <c r="CN122" s="129"/>
      <c r="CO122" s="129"/>
      <c r="CP122" s="129"/>
      <c r="CQ122" s="129"/>
      <c r="CR122" s="129"/>
      <c r="CS122" s="129"/>
      <c r="CT122" s="129"/>
    </row>
    <row r="123" spans="2:98" s="120" customFormat="1">
      <c r="B123" s="2"/>
      <c r="C123" s="3"/>
      <c r="D123" s="2"/>
      <c r="E123" s="2"/>
      <c r="F123" s="3"/>
      <c r="G123" s="2"/>
      <c r="H123" s="129"/>
      <c r="I123" s="129"/>
      <c r="J123" s="129"/>
      <c r="K123" s="129"/>
      <c r="L123" s="129"/>
      <c r="M123" s="129"/>
      <c r="N123" s="129"/>
      <c r="O123" s="129"/>
      <c r="P123" s="129"/>
      <c r="Q123" s="129"/>
      <c r="R123" s="129"/>
      <c r="S123" s="129"/>
      <c r="T123" s="129"/>
      <c r="U123" s="129"/>
      <c r="V123" s="129"/>
      <c r="W123" s="129"/>
      <c r="X123" s="129"/>
      <c r="Y123" s="129"/>
      <c r="Z123" s="129"/>
      <c r="AA123" s="129"/>
      <c r="AB123" s="129"/>
      <c r="AC123" s="129"/>
      <c r="AD123" s="129"/>
      <c r="AE123" s="129"/>
      <c r="AF123" s="129"/>
      <c r="AG123" s="129"/>
      <c r="AH123" s="129"/>
      <c r="AI123" s="129"/>
      <c r="AJ123" s="129"/>
      <c r="AK123" s="129"/>
      <c r="AL123" s="129"/>
      <c r="AM123" s="129"/>
      <c r="AN123" s="129"/>
      <c r="AO123" s="129"/>
      <c r="AP123" s="129"/>
      <c r="AQ123" s="129"/>
      <c r="AR123" s="129"/>
      <c r="AS123" s="129"/>
      <c r="AT123" s="129"/>
      <c r="AU123" s="129"/>
      <c r="AV123" s="129"/>
      <c r="AW123" s="129"/>
      <c r="AX123" s="129"/>
      <c r="AY123" s="129"/>
      <c r="AZ123" s="129"/>
      <c r="BA123" s="129"/>
      <c r="BB123" s="129"/>
      <c r="BC123" s="129"/>
      <c r="BD123" s="129"/>
      <c r="BE123" s="129"/>
      <c r="BF123" s="129"/>
      <c r="BG123" s="129"/>
      <c r="BH123" s="129"/>
      <c r="BI123" s="129"/>
      <c r="BJ123" s="129"/>
      <c r="BK123" s="129"/>
      <c r="BL123" s="129"/>
      <c r="BM123" s="129"/>
      <c r="BN123" s="129"/>
      <c r="BO123" s="129"/>
      <c r="BP123" s="129"/>
      <c r="BQ123" s="129"/>
      <c r="BR123" s="129"/>
      <c r="BS123" s="129"/>
      <c r="BT123" s="129"/>
      <c r="BU123" s="129"/>
      <c r="BV123" s="129"/>
      <c r="BW123" s="129"/>
      <c r="BX123" s="129"/>
      <c r="BY123" s="129"/>
      <c r="BZ123" s="129"/>
      <c r="CA123" s="129"/>
      <c r="CB123" s="129"/>
      <c r="CC123" s="129"/>
      <c r="CD123" s="129"/>
      <c r="CE123" s="129"/>
      <c r="CF123" s="129"/>
      <c r="CG123" s="129"/>
      <c r="CH123" s="129"/>
      <c r="CI123" s="129"/>
      <c r="CJ123" s="129"/>
      <c r="CK123" s="129"/>
      <c r="CL123" s="129"/>
      <c r="CM123" s="129"/>
      <c r="CN123" s="129"/>
      <c r="CO123" s="129"/>
      <c r="CP123" s="129"/>
      <c r="CQ123" s="129"/>
      <c r="CR123" s="129"/>
      <c r="CS123" s="129"/>
      <c r="CT123" s="129"/>
    </row>
    <row r="124" spans="2:98" s="120" customFormat="1">
      <c r="B124" s="2"/>
      <c r="C124" s="3"/>
      <c r="D124" s="2"/>
      <c r="E124" s="2"/>
      <c r="F124" s="3"/>
      <c r="G124" s="2"/>
      <c r="H124" s="129"/>
      <c r="I124" s="129"/>
      <c r="J124" s="129"/>
      <c r="K124" s="129"/>
      <c r="L124" s="129"/>
      <c r="M124" s="129"/>
      <c r="N124" s="129"/>
      <c r="O124" s="129"/>
      <c r="P124" s="129"/>
      <c r="Q124" s="129"/>
      <c r="R124" s="129"/>
      <c r="S124" s="129"/>
      <c r="T124" s="129"/>
      <c r="U124" s="129"/>
      <c r="V124" s="129"/>
      <c r="W124" s="129"/>
      <c r="X124" s="129"/>
      <c r="Y124" s="129"/>
      <c r="Z124" s="129"/>
      <c r="AA124" s="129"/>
      <c r="AB124" s="129"/>
      <c r="AC124" s="129"/>
      <c r="AD124" s="129"/>
      <c r="AE124" s="129"/>
      <c r="AF124" s="129"/>
      <c r="AG124" s="129"/>
      <c r="AH124" s="129"/>
      <c r="AI124" s="129"/>
      <c r="AJ124" s="129"/>
      <c r="AK124" s="129"/>
      <c r="AL124" s="129"/>
      <c r="AM124" s="129"/>
      <c r="AN124" s="129"/>
      <c r="AO124" s="129"/>
      <c r="AP124" s="129"/>
      <c r="AQ124" s="129"/>
      <c r="AR124" s="129"/>
      <c r="AS124" s="129"/>
      <c r="AT124" s="129"/>
      <c r="AU124" s="129"/>
      <c r="AV124" s="129"/>
      <c r="AW124" s="129"/>
      <c r="AX124" s="129"/>
      <c r="AY124" s="129"/>
      <c r="AZ124" s="129"/>
      <c r="BA124" s="129"/>
      <c r="BB124" s="129"/>
      <c r="BC124" s="129"/>
      <c r="BD124" s="129"/>
      <c r="BE124" s="129"/>
      <c r="BF124" s="129"/>
      <c r="BG124" s="129"/>
      <c r="BH124" s="129"/>
      <c r="BI124" s="129"/>
      <c r="BJ124" s="129"/>
      <c r="BK124" s="129"/>
      <c r="BL124" s="129"/>
      <c r="BM124" s="129"/>
      <c r="BN124" s="129"/>
      <c r="BO124" s="129"/>
      <c r="BP124" s="129"/>
      <c r="BQ124" s="129"/>
      <c r="BR124" s="129"/>
      <c r="BS124" s="129"/>
      <c r="BT124" s="129"/>
      <c r="BU124" s="129"/>
      <c r="BV124" s="129"/>
      <c r="BW124" s="129"/>
      <c r="BX124" s="129"/>
      <c r="BY124" s="129"/>
      <c r="BZ124" s="129"/>
      <c r="CA124" s="129"/>
      <c r="CB124" s="129"/>
      <c r="CC124" s="129"/>
      <c r="CD124" s="129"/>
      <c r="CE124" s="129"/>
      <c r="CF124" s="129"/>
      <c r="CG124" s="129"/>
      <c r="CH124" s="129"/>
      <c r="CI124" s="129"/>
      <c r="CJ124" s="129"/>
      <c r="CK124" s="129"/>
      <c r="CL124" s="129"/>
      <c r="CM124" s="129"/>
      <c r="CN124" s="129"/>
      <c r="CO124" s="129"/>
      <c r="CP124" s="129"/>
      <c r="CQ124" s="129"/>
      <c r="CR124" s="129"/>
      <c r="CS124" s="129"/>
      <c r="CT124" s="129"/>
    </row>
    <row r="125" spans="2:98" s="120" customFormat="1">
      <c r="B125" s="2"/>
      <c r="C125" s="3"/>
      <c r="D125" s="2"/>
      <c r="E125" s="2"/>
      <c r="F125" s="3"/>
      <c r="G125" s="2"/>
      <c r="H125" s="129"/>
      <c r="I125" s="129"/>
      <c r="J125" s="129"/>
      <c r="K125" s="129"/>
      <c r="L125" s="129"/>
      <c r="M125" s="129"/>
      <c r="N125" s="129"/>
      <c r="O125" s="129"/>
      <c r="P125" s="129"/>
      <c r="Q125" s="129"/>
      <c r="R125" s="129"/>
      <c r="S125" s="129"/>
      <c r="T125" s="129"/>
      <c r="U125" s="129"/>
      <c r="V125" s="129"/>
      <c r="W125" s="129"/>
      <c r="X125" s="129"/>
      <c r="Y125" s="129"/>
      <c r="Z125" s="129"/>
      <c r="AA125" s="129"/>
      <c r="AB125" s="129"/>
      <c r="AC125" s="129"/>
      <c r="AD125" s="129"/>
      <c r="AE125" s="129"/>
      <c r="AF125" s="129"/>
      <c r="AG125" s="129"/>
      <c r="AH125" s="129"/>
      <c r="AI125" s="129"/>
      <c r="AJ125" s="129"/>
      <c r="AK125" s="129"/>
      <c r="AL125" s="129"/>
      <c r="AM125" s="129"/>
      <c r="AN125" s="129"/>
      <c r="AO125" s="129"/>
      <c r="AP125" s="129"/>
      <c r="AQ125" s="129"/>
      <c r="AR125" s="129"/>
      <c r="AS125" s="129"/>
      <c r="AT125" s="129"/>
      <c r="AU125" s="129"/>
      <c r="AV125" s="129"/>
      <c r="AW125" s="129"/>
      <c r="AX125" s="129"/>
      <c r="AY125" s="129"/>
      <c r="AZ125" s="129"/>
      <c r="BA125" s="129"/>
      <c r="BB125" s="129"/>
      <c r="BC125" s="129"/>
      <c r="BD125" s="129"/>
      <c r="BE125" s="129"/>
      <c r="BF125" s="129"/>
      <c r="BG125" s="129"/>
      <c r="BH125" s="129"/>
      <c r="BI125" s="129"/>
      <c r="BJ125" s="129"/>
      <c r="BK125" s="129"/>
      <c r="BL125" s="129"/>
      <c r="BM125" s="129"/>
      <c r="BN125" s="129"/>
      <c r="BO125" s="129"/>
      <c r="BP125" s="129"/>
      <c r="BQ125" s="129"/>
      <c r="BR125" s="129"/>
      <c r="BS125" s="129"/>
      <c r="BT125" s="129"/>
      <c r="BU125" s="129"/>
      <c r="BV125" s="129"/>
      <c r="BW125" s="129"/>
      <c r="BX125" s="129"/>
      <c r="BY125" s="129"/>
      <c r="BZ125" s="129"/>
      <c r="CA125" s="129"/>
      <c r="CB125" s="129"/>
      <c r="CC125" s="129"/>
      <c r="CD125" s="129"/>
      <c r="CE125" s="129"/>
      <c r="CF125" s="129"/>
      <c r="CG125" s="129"/>
      <c r="CH125" s="129"/>
      <c r="CI125" s="129"/>
      <c r="CJ125" s="129"/>
      <c r="CK125" s="129"/>
      <c r="CL125" s="129"/>
      <c r="CM125" s="129"/>
      <c r="CN125" s="129"/>
      <c r="CO125" s="129"/>
      <c r="CP125" s="129"/>
      <c r="CQ125" s="129"/>
      <c r="CR125" s="129"/>
      <c r="CS125" s="129"/>
      <c r="CT125" s="129"/>
    </row>
    <row r="126" spans="2:98" s="120" customFormat="1">
      <c r="B126" s="2"/>
      <c r="C126" s="3"/>
      <c r="D126" s="2"/>
      <c r="E126" s="2"/>
      <c r="F126" s="3"/>
      <c r="G126" s="2"/>
      <c r="H126" s="129"/>
      <c r="I126" s="129"/>
      <c r="J126" s="129"/>
      <c r="K126" s="129"/>
      <c r="L126" s="129"/>
      <c r="M126" s="129"/>
      <c r="N126" s="129"/>
      <c r="O126" s="129"/>
      <c r="P126" s="129"/>
      <c r="Q126" s="129"/>
      <c r="R126" s="129"/>
      <c r="S126" s="129"/>
      <c r="T126" s="129"/>
      <c r="U126" s="129"/>
      <c r="V126" s="129"/>
      <c r="W126" s="129"/>
      <c r="X126" s="129"/>
      <c r="Y126" s="129"/>
      <c r="Z126" s="129"/>
      <c r="AA126" s="129"/>
      <c r="AB126" s="129"/>
      <c r="AC126" s="129"/>
      <c r="AD126" s="129"/>
      <c r="AE126" s="129"/>
      <c r="AF126" s="129"/>
      <c r="AG126" s="129"/>
      <c r="AH126" s="129"/>
      <c r="AI126" s="129"/>
      <c r="AJ126" s="129"/>
      <c r="AK126" s="129"/>
      <c r="AL126" s="129"/>
      <c r="AM126" s="129"/>
      <c r="AN126" s="129"/>
      <c r="AO126" s="129"/>
      <c r="AP126" s="129"/>
      <c r="AQ126" s="129"/>
      <c r="AR126" s="129"/>
      <c r="AS126" s="129"/>
      <c r="AT126" s="129"/>
      <c r="AU126" s="129"/>
      <c r="AV126" s="129"/>
      <c r="AW126" s="129"/>
      <c r="AX126" s="129"/>
      <c r="AY126" s="129"/>
      <c r="AZ126" s="129"/>
      <c r="BA126" s="129"/>
      <c r="BB126" s="129"/>
      <c r="BC126" s="129"/>
      <c r="BD126" s="129"/>
      <c r="BE126" s="129"/>
      <c r="BF126" s="129"/>
      <c r="BG126" s="129"/>
      <c r="BH126" s="129"/>
      <c r="BI126" s="129"/>
      <c r="BJ126" s="129"/>
      <c r="BK126" s="129"/>
      <c r="BL126" s="129"/>
      <c r="BM126" s="129"/>
      <c r="BN126" s="129"/>
      <c r="BO126" s="129"/>
      <c r="BP126" s="129"/>
      <c r="BQ126" s="129"/>
      <c r="BR126" s="129"/>
      <c r="BS126" s="129"/>
      <c r="BT126" s="129"/>
      <c r="BU126" s="129"/>
      <c r="BV126" s="129"/>
      <c r="BW126" s="129"/>
      <c r="BX126" s="129"/>
      <c r="BY126" s="129"/>
      <c r="BZ126" s="129"/>
      <c r="CA126" s="129"/>
      <c r="CB126" s="129"/>
      <c r="CC126" s="129"/>
      <c r="CD126" s="129"/>
      <c r="CE126" s="129"/>
      <c r="CF126" s="129"/>
      <c r="CG126" s="129"/>
      <c r="CH126" s="129"/>
      <c r="CI126" s="129"/>
      <c r="CJ126" s="129"/>
      <c r="CK126" s="129"/>
      <c r="CL126" s="129"/>
      <c r="CM126" s="129"/>
      <c r="CN126" s="129"/>
      <c r="CO126" s="129"/>
      <c r="CP126" s="129"/>
      <c r="CQ126" s="129"/>
      <c r="CR126" s="129"/>
      <c r="CS126" s="129"/>
      <c r="CT126" s="129"/>
    </row>
    <row r="127" spans="2:98" s="120" customFormat="1">
      <c r="B127" s="2"/>
      <c r="C127" s="3"/>
      <c r="D127" s="2"/>
      <c r="E127" s="2"/>
      <c r="F127" s="3"/>
      <c r="G127" s="2"/>
      <c r="H127" s="129"/>
      <c r="I127" s="129"/>
      <c r="J127" s="129"/>
      <c r="K127" s="129"/>
      <c r="L127" s="129"/>
      <c r="M127" s="129"/>
      <c r="N127" s="129"/>
      <c r="O127" s="129"/>
      <c r="P127" s="129"/>
      <c r="Q127" s="129"/>
      <c r="R127" s="129"/>
      <c r="S127" s="129"/>
      <c r="T127" s="129"/>
      <c r="U127" s="129"/>
      <c r="V127" s="129"/>
      <c r="W127" s="129"/>
      <c r="X127" s="129"/>
      <c r="Y127" s="129"/>
      <c r="Z127" s="129"/>
      <c r="AA127" s="129"/>
      <c r="AB127" s="129"/>
      <c r="AC127" s="129"/>
      <c r="AD127" s="129"/>
      <c r="AE127" s="129"/>
      <c r="AF127" s="129"/>
      <c r="AG127" s="129"/>
      <c r="AH127" s="129"/>
      <c r="AI127" s="129"/>
      <c r="AJ127" s="129"/>
      <c r="AK127" s="129"/>
      <c r="AL127" s="129"/>
      <c r="AM127" s="129"/>
      <c r="AN127" s="129"/>
      <c r="AO127" s="129"/>
      <c r="AP127" s="129"/>
      <c r="AQ127" s="129"/>
      <c r="AR127" s="129"/>
      <c r="AS127" s="129"/>
      <c r="AT127" s="129"/>
      <c r="AU127" s="129"/>
      <c r="AV127" s="129"/>
      <c r="AW127" s="129"/>
      <c r="AX127" s="129"/>
      <c r="AY127" s="129"/>
      <c r="AZ127" s="129"/>
      <c r="BA127" s="129"/>
      <c r="BB127" s="129"/>
      <c r="BC127" s="129"/>
      <c r="BD127" s="129"/>
      <c r="BE127" s="129"/>
      <c r="BF127" s="129"/>
      <c r="BG127" s="129"/>
      <c r="BH127" s="129"/>
      <c r="BI127" s="129"/>
      <c r="BJ127" s="129"/>
      <c r="BK127" s="129"/>
      <c r="BL127" s="129"/>
      <c r="BM127" s="129"/>
      <c r="BN127" s="129"/>
      <c r="BO127" s="129"/>
      <c r="BP127" s="129"/>
      <c r="BQ127" s="129"/>
      <c r="BR127" s="129"/>
      <c r="BS127" s="129"/>
      <c r="BT127" s="129"/>
      <c r="BU127" s="129"/>
      <c r="BV127" s="129"/>
      <c r="BW127" s="129"/>
      <c r="BX127" s="129"/>
      <c r="BY127" s="129"/>
      <c r="BZ127" s="129"/>
      <c r="CA127" s="129"/>
      <c r="CB127" s="129"/>
      <c r="CC127" s="129"/>
      <c r="CD127" s="129"/>
      <c r="CE127" s="129"/>
      <c r="CF127" s="129"/>
      <c r="CG127" s="129"/>
      <c r="CH127" s="129"/>
      <c r="CI127" s="129"/>
      <c r="CJ127" s="129"/>
      <c r="CK127" s="129"/>
      <c r="CL127" s="129"/>
      <c r="CM127" s="129"/>
      <c r="CN127" s="129"/>
      <c r="CO127" s="129"/>
      <c r="CP127" s="129"/>
      <c r="CQ127" s="129"/>
      <c r="CR127" s="129"/>
      <c r="CS127" s="129"/>
      <c r="CT127" s="129"/>
    </row>
    <row r="128" spans="2:98" s="120" customFormat="1">
      <c r="B128" s="2"/>
      <c r="C128" s="3"/>
      <c r="D128" s="2"/>
      <c r="E128" s="2"/>
      <c r="F128" s="3"/>
      <c r="G128" s="2"/>
      <c r="H128" s="129"/>
      <c r="I128" s="129"/>
      <c r="J128" s="129"/>
      <c r="K128" s="129"/>
      <c r="L128" s="129"/>
      <c r="M128" s="129"/>
      <c r="N128" s="129"/>
      <c r="O128" s="129"/>
      <c r="P128" s="129"/>
      <c r="Q128" s="129"/>
      <c r="R128" s="129"/>
      <c r="S128" s="129"/>
      <c r="T128" s="129"/>
      <c r="U128" s="129"/>
      <c r="V128" s="129"/>
      <c r="W128" s="129"/>
      <c r="X128" s="129"/>
      <c r="Y128" s="129"/>
      <c r="Z128" s="129"/>
      <c r="AA128" s="129"/>
      <c r="AB128" s="129"/>
      <c r="AC128" s="129"/>
      <c r="AD128" s="129"/>
      <c r="AE128" s="129"/>
      <c r="AF128" s="129"/>
      <c r="AG128" s="129"/>
      <c r="AH128" s="129"/>
      <c r="AI128" s="129"/>
      <c r="AJ128" s="129"/>
      <c r="AK128" s="129"/>
      <c r="AL128" s="129"/>
      <c r="AM128" s="129"/>
      <c r="AN128" s="129"/>
      <c r="AO128" s="129"/>
      <c r="AP128" s="129"/>
      <c r="AQ128" s="129"/>
      <c r="AR128" s="129"/>
      <c r="AS128" s="129"/>
      <c r="AT128" s="129"/>
      <c r="AU128" s="129"/>
      <c r="AV128" s="129"/>
      <c r="AW128" s="129"/>
      <c r="AX128" s="129"/>
      <c r="AY128" s="129"/>
      <c r="AZ128" s="129"/>
      <c r="BA128" s="129"/>
      <c r="BB128" s="129"/>
      <c r="BC128" s="129"/>
      <c r="BD128" s="129"/>
      <c r="BE128" s="129"/>
      <c r="BF128" s="129"/>
      <c r="BG128" s="129"/>
      <c r="BH128" s="129"/>
      <c r="BI128" s="129"/>
      <c r="BJ128" s="129"/>
      <c r="BK128" s="129"/>
      <c r="BL128" s="129"/>
      <c r="BM128" s="129"/>
      <c r="BN128" s="129"/>
      <c r="BO128" s="129"/>
      <c r="BP128" s="129"/>
      <c r="BQ128" s="129"/>
      <c r="BR128" s="129"/>
      <c r="BS128" s="129"/>
      <c r="BT128" s="129"/>
      <c r="BU128" s="129"/>
      <c r="BV128" s="129"/>
      <c r="BW128" s="129"/>
      <c r="BX128" s="129"/>
      <c r="BY128" s="129"/>
      <c r="BZ128" s="129"/>
      <c r="CA128" s="129"/>
      <c r="CB128" s="129"/>
      <c r="CC128" s="129"/>
      <c r="CD128" s="129"/>
      <c r="CE128" s="129"/>
      <c r="CF128" s="129"/>
      <c r="CG128" s="129"/>
      <c r="CH128" s="129"/>
      <c r="CI128" s="129"/>
      <c r="CJ128" s="129"/>
      <c r="CK128" s="129"/>
      <c r="CL128" s="129"/>
      <c r="CM128" s="129"/>
      <c r="CN128" s="129"/>
      <c r="CO128" s="129"/>
      <c r="CP128" s="129"/>
      <c r="CQ128" s="129"/>
      <c r="CR128" s="129"/>
      <c r="CS128" s="129"/>
      <c r="CT128" s="129"/>
    </row>
    <row r="129" spans="2:98" s="120" customFormat="1">
      <c r="B129" s="2"/>
      <c r="C129" s="3"/>
      <c r="D129" s="2"/>
      <c r="E129" s="2"/>
      <c r="F129" s="3"/>
      <c r="G129" s="2"/>
      <c r="H129" s="129"/>
      <c r="I129" s="129"/>
      <c r="J129" s="129"/>
      <c r="K129" s="129"/>
      <c r="L129" s="129"/>
      <c r="M129" s="129"/>
      <c r="N129" s="129"/>
      <c r="O129" s="129"/>
      <c r="P129" s="129"/>
      <c r="Q129" s="129"/>
      <c r="R129" s="129"/>
      <c r="S129" s="129"/>
      <c r="T129" s="129"/>
      <c r="U129" s="129"/>
      <c r="V129" s="129"/>
      <c r="W129" s="129"/>
      <c r="X129" s="129"/>
      <c r="Y129" s="129"/>
      <c r="Z129" s="129"/>
      <c r="AA129" s="129"/>
      <c r="AB129" s="129"/>
      <c r="AC129" s="129"/>
      <c r="AD129" s="129"/>
      <c r="AE129" s="129"/>
      <c r="AF129" s="129"/>
      <c r="AG129" s="129"/>
      <c r="AH129" s="129"/>
      <c r="AI129" s="129"/>
      <c r="AJ129" s="129"/>
      <c r="AK129" s="129"/>
      <c r="AL129" s="129"/>
      <c r="AM129" s="129"/>
      <c r="AN129" s="129"/>
      <c r="AO129" s="129"/>
      <c r="AP129" s="129"/>
      <c r="AQ129" s="129"/>
      <c r="AR129" s="129"/>
      <c r="AS129" s="129"/>
      <c r="AT129" s="129"/>
      <c r="AU129" s="129"/>
      <c r="AV129" s="129"/>
      <c r="AW129" s="129"/>
      <c r="AX129" s="129"/>
      <c r="AY129" s="129"/>
      <c r="AZ129" s="129"/>
      <c r="BA129" s="129"/>
      <c r="BB129" s="129"/>
      <c r="BC129" s="129"/>
      <c r="BD129" s="129"/>
      <c r="BE129" s="129"/>
      <c r="BF129" s="129"/>
      <c r="BG129" s="129"/>
      <c r="BH129" s="129"/>
      <c r="BI129" s="129"/>
      <c r="BJ129" s="129"/>
      <c r="BK129" s="129"/>
      <c r="BL129" s="129"/>
      <c r="BM129" s="129"/>
      <c r="BN129" s="129"/>
      <c r="BO129" s="129"/>
      <c r="BP129" s="129"/>
      <c r="BQ129" s="129"/>
      <c r="BR129" s="129"/>
      <c r="BS129" s="129"/>
      <c r="BT129" s="129"/>
      <c r="BU129" s="129"/>
      <c r="BV129" s="129"/>
      <c r="BW129" s="129"/>
      <c r="BX129" s="129"/>
      <c r="BY129" s="129"/>
      <c r="BZ129" s="129"/>
      <c r="CA129" s="129"/>
      <c r="CB129" s="129"/>
      <c r="CC129" s="129"/>
      <c r="CD129" s="129"/>
      <c r="CE129" s="129"/>
      <c r="CF129" s="129"/>
      <c r="CG129" s="129"/>
      <c r="CH129" s="129"/>
      <c r="CI129" s="129"/>
      <c r="CJ129" s="129"/>
      <c r="CK129" s="129"/>
      <c r="CL129" s="129"/>
      <c r="CM129" s="129"/>
      <c r="CN129" s="129"/>
      <c r="CO129" s="129"/>
      <c r="CP129" s="129"/>
      <c r="CQ129" s="129"/>
      <c r="CR129" s="129"/>
      <c r="CS129" s="129"/>
      <c r="CT129" s="129"/>
    </row>
    <row r="130" spans="2:98" s="120" customFormat="1">
      <c r="B130" s="2"/>
      <c r="C130" s="3"/>
      <c r="D130" s="2"/>
      <c r="E130" s="2"/>
      <c r="F130" s="3"/>
      <c r="G130" s="2"/>
      <c r="H130" s="129"/>
      <c r="I130" s="129"/>
      <c r="J130" s="129"/>
      <c r="K130" s="129"/>
      <c r="L130" s="129"/>
      <c r="M130" s="129"/>
      <c r="N130" s="129"/>
      <c r="O130" s="129"/>
      <c r="P130" s="129"/>
      <c r="Q130" s="129"/>
      <c r="R130" s="129"/>
      <c r="S130" s="129"/>
      <c r="T130" s="129"/>
      <c r="U130" s="129"/>
      <c r="V130" s="129"/>
      <c r="W130" s="129"/>
      <c r="X130" s="129"/>
      <c r="Y130" s="129"/>
      <c r="Z130" s="129"/>
      <c r="AA130" s="129"/>
      <c r="AB130" s="129"/>
      <c r="AC130" s="129"/>
      <c r="AD130" s="129"/>
      <c r="AE130" s="129"/>
      <c r="AF130" s="129"/>
      <c r="AG130" s="129"/>
      <c r="AH130" s="129"/>
      <c r="AI130" s="129"/>
      <c r="AJ130" s="129"/>
      <c r="AK130" s="129"/>
      <c r="AL130" s="129"/>
      <c r="AM130" s="129"/>
      <c r="AN130" s="129"/>
      <c r="AO130" s="129"/>
      <c r="AP130" s="129"/>
      <c r="AQ130" s="129"/>
      <c r="AR130" s="129"/>
      <c r="AS130" s="129"/>
      <c r="AT130" s="129"/>
      <c r="AU130" s="129"/>
      <c r="AV130" s="129"/>
      <c r="AW130" s="129"/>
      <c r="AX130" s="129"/>
      <c r="AY130" s="129"/>
      <c r="AZ130" s="129"/>
      <c r="BA130" s="129"/>
      <c r="BB130" s="129"/>
      <c r="BC130" s="129"/>
      <c r="BD130" s="129"/>
      <c r="BE130" s="129"/>
      <c r="BF130" s="129"/>
      <c r="BG130" s="129"/>
      <c r="BH130" s="129"/>
      <c r="BI130" s="129"/>
      <c r="BJ130" s="129"/>
      <c r="BK130" s="129"/>
      <c r="BL130" s="129"/>
      <c r="BM130" s="129"/>
      <c r="BN130" s="129"/>
      <c r="BO130" s="129"/>
      <c r="BP130" s="129"/>
      <c r="BQ130" s="129"/>
      <c r="BR130" s="129"/>
      <c r="BS130" s="129"/>
      <c r="BT130" s="129"/>
      <c r="BU130" s="129"/>
      <c r="BV130" s="129"/>
      <c r="BW130" s="129"/>
      <c r="BX130" s="129"/>
      <c r="BY130" s="129"/>
      <c r="BZ130" s="129"/>
      <c r="CA130" s="129"/>
      <c r="CB130" s="129"/>
      <c r="CC130" s="129"/>
      <c r="CD130" s="129"/>
      <c r="CE130" s="129"/>
      <c r="CF130" s="129"/>
      <c r="CG130" s="129"/>
      <c r="CH130" s="129"/>
      <c r="CI130" s="129"/>
      <c r="CJ130" s="129"/>
      <c r="CK130" s="129"/>
      <c r="CL130" s="129"/>
      <c r="CM130" s="129"/>
      <c r="CN130" s="129"/>
      <c r="CO130" s="129"/>
      <c r="CP130" s="129"/>
      <c r="CQ130" s="129"/>
      <c r="CR130" s="129"/>
      <c r="CS130" s="129"/>
      <c r="CT130" s="129"/>
    </row>
    <row r="131" spans="2:98" s="120" customFormat="1">
      <c r="B131" s="2"/>
      <c r="C131" s="3"/>
      <c r="D131" s="2"/>
      <c r="E131" s="2"/>
      <c r="F131" s="3"/>
      <c r="G131" s="2"/>
      <c r="H131" s="129"/>
      <c r="I131" s="129"/>
      <c r="J131" s="129"/>
      <c r="K131" s="129"/>
      <c r="L131" s="129"/>
      <c r="M131" s="129"/>
      <c r="N131" s="129"/>
      <c r="O131" s="129"/>
      <c r="P131" s="129"/>
      <c r="Q131" s="129"/>
      <c r="R131" s="129"/>
      <c r="S131" s="129"/>
      <c r="T131" s="129"/>
      <c r="U131" s="129"/>
      <c r="V131" s="129"/>
      <c r="W131" s="129"/>
      <c r="X131" s="129"/>
      <c r="Y131" s="129"/>
      <c r="Z131" s="129"/>
      <c r="AA131" s="129"/>
      <c r="AB131" s="129"/>
      <c r="AC131" s="129"/>
      <c r="AD131" s="129"/>
      <c r="AE131" s="129"/>
      <c r="AF131" s="129"/>
      <c r="AG131" s="129"/>
      <c r="AH131" s="129"/>
      <c r="AI131" s="129"/>
      <c r="AJ131" s="129"/>
      <c r="AK131" s="129"/>
      <c r="AL131" s="129"/>
      <c r="AM131" s="129"/>
      <c r="AN131" s="129"/>
      <c r="AO131" s="129"/>
      <c r="AP131" s="129"/>
      <c r="AQ131" s="129"/>
      <c r="AR131" s="129"/>
      <c r="AS131" s="129"/>
      <c r="AT131" s="129"/>
      <c r="AU131" s="129"/>
      <c r="AV131" s="129"/>
      <c r="AW131" s="129"/>
      <c r="AX131" s="129"/>
      <c r="AY131" s="129"/>
      <c r="AZ131" s="129"/>
      <c r="BA131" s="129"/>
      <c r="BB131" s="129"/>
      <c r="BC131" s="129"/>
      <c r="BD131" s="129"/>
      <c r="BE131" s="129"/>
      <c r="BF131" s="129"/>
      <c r="BG131" s="129"/>
      <c r="BH131" s="129"/>
      <c r="BI131" s="129"/>
      <c r="BJ131" s="129"/>
      <c r="BK131" s="129"/>
      <c r="BL131" s="129"/>
      <c r="BM131" s="129"/>
      <c r="BN131" s="129"/>
      <c r="BO131" s="129"/>
      <c r="BP131" s="129"/>
      <c r="BQ131" s="129"/>
      <c r="BR131" s="129"/>
      <c r="BS131" s="129"/>
      <c r="BT131" s="129"/>
      <c r="BU131" s="129"/>
      <c r="BV131" s="129"/>
      <c r="BW131" s="129"/>
      <c r="BX131" s="129"/>
      <c r="BY131" s="129"/>
      <c r="BZ131" s="129"/>
      <c r="CA131" s="129"/>
      <c r="CB131" s="129"/>
      <c r="CC131" s="129"/>
      <c r="CD131" s="129"/>
      <c r="CE131" s="129"/>
      <c r="CF131" s="129"/>
      <c r="CG131" s="129"/>
      <c r="CH131" s="129"/>
      <c r="CI131" s="129"/>
      <c r="CJ131" s="129"/>
      <c r="CK131" s="129"/>
      <c r="CL131" s="129"/>
      <c r="CM131" s="129"/>
      <c r="CN131" s="129"/>
      <c r="CO131" s="129"/>
      <c r="CP131" s="129"/>
      <c r="CQ131" s="129"/>
      <c r="CR131" s="129"/>
      <c r="CS131" s="129"/>
      <c r="CT131" s="129"/>
    </row>
    <row r="132" spans="2:98" s="120" customFormat="1">
      <c r="B132" s="2"/>
      <c r="C132" s="3"/>
      <c r="D132" s="2"/>
      <c r="E132" s="2"/>
      <c r="F132" s="3"/>
      <c r="G132" s="2"/>
      <c r="H132" s="129"/>
      <c r="I132" s="129"/>
      <c r="J132" s="129"/>
      <c r="K132" s="129"/>
      <c r="L132" s="129"/>
      <c r="M132" s="129"/>
      <c r="N132" s="129"/>
      <c r="O132" s="129"/>
      <c r="P132" s="129"/>
      <c r="Q132" s="129"/>
      <c r="R132" s="129"/>
      <c r="S132" s="129"/>
      <c r="T132" s="129"/>
      <c r="U132" s="129"/>
      <c r="V132" s="129"/>
      <c r="W132" s="129"/>
      <c r="X132" s="129"/>
      <c r="Y132" s="129"/>
      <c r="Z132" s="129"/>
      <c r="AA132" s="129"/>
      <c r="AB132" s="129"/>
      <c r="AC132" s="129"/>
      <c r="AD132" s="129"/>
      <c r="AE132" s="129"/>
      <c r="AF132" s="129"/>
      <c r="AG132" s="129"/>
      <c r="AH132" s="129"/>
      <c r="AI132" s="129"/>
      <c r="AJ132" s="129"/>
      <c r="AK132" s="129"/>
      <c r="AL132" s="129"/>
      <c r="AM132" s="129"/>
      <c r="AN132" s="129"/>
      <c r="AO132" s="129"/>
      <c r="AP132" s="129"/>
      <c r="AQ132" s="129"/>
      <c r="AR132" s="129"/>
      <c r="AS132" s="129"/>
      <c r="AT132" s="129"/>
      <c r="AU132" s="129"/>
      <c r="AV132" s="129"/>
      <c r="AW132" s="129"/>
      <c r="AX132" s="129"/>
      <c r="AY132" s="129"/>
      <c r="AZ132" s="129"/>
      <c r="BA132" s="129"/>
      <c r="BB132" s="129"/>
      <c r="BC132" s="129"/>
      <c r="BD132" s="129"/>
      <c r="BE132" s="129"/>
      <c r="BF132" s="129"/>
      <c r="BG132" s="129"/>
      <c r="BH132" s="129"/>
      <c r="BI132" s="129"/>
      <c r="BJ132" s="129"/>
      <c r="BK132" s="129"/>
      <c r="BL132" s="129"/>
      <c r="BM132" s="129"/>
      <c r="BN132" s="129"/>
      <c r="BO132" s="129"/>
      <c r="BP132" s="129"/>
      <c r="BQ132" s="129"/>
      <c r="BR132" s="129"/>
      <c r="BS132" s="129"/>
      <c r="BT132" s="129"/>
      <c r="BU132" s="129"/>
      <c r="BV132" s="129"/>
      <c r="BW132" s="129"/>
      <c r="BX132" s="129"/>
      <c r="BY132" s="129"/>
      <c r="BZ132" s="129"/>
      <c r="CA132" s="129"/>
      <c r="CB132" s="129"/>
      <c r="CC132" s="129"/>
      <c r="CD132" s="129"/>
      <c r="CE132" s="129"/>
      <c r="CF132" s="129"/>
      <c r="CG132" s="129"/>
      <c r="CH132" s="129"/>
      <c r="CI132" s="129"/>
      <c r="CJ132" s="129"/>
      <c r="CK132" s="129"/>
      <c r="CL132" s="129"/>
      <c r="CM132" s="129"/>
      <c r="CN132" s="129"/>
      <c r="CO132" s="129"/>
      <c r="CP132" s="129"/>
      <c r="CQ132" s="129"/>
      <c r="CR132" s="129"/>
      <c r="CS132" s="129"/>
      <c r="CT132" s="129"/>
    </row>
    <row r="133" spans="2:98" s="120" customFormat="1">
      <c r="B133" s="2"/>
      <c r="C133" s="3"/>
      <c r="D133" s="2"/>
      <c r="E133" s="2"/>
      <c r="F133" s="3"/>
      <c r="G133" s="2"/>
      <c r="H133" s="129"/>
      <c r="I133" s="129"/>
      <c r="J133" s="129"/>
      <c r="K133" s="129"/>
      <c r="L133" s="129"/>
      <c r="M133" s="129"/>
      <c r="N133" s="129"/>
      <c r="O133" s="129"/>
      <c r="P133" s="129"/>
      <c r="Q133" s="129"/>
      <c r="R133" s="129"/>
      <c r="S133" s="129"/>
      <c r="T133" s="129"/>
      <c r="U133" s="129"/>
      <c r="V133" s="129"/>
      <c r="W133" s="129"/>
      <c r="X133" s="129"/>
      <c r="Y133" s="129"/>
      <c r="Z133" s="129"/>
      <c r="AA133" s="129"/>
      <c r="AB133" s="129"/>
      <c r="AC133" s="129"/>
      <c r="AD133" s="129"/>
      <c r="AE133" s="129"/>
      <c r="AF133" s="129"/>
      <c r="AG133" s="129"/>
      <c r="AH133" s="129"/>
      <c r="AI133" s="129"/>
      <c r="AJ133" s="129"/>
      <c r="AK133" s="129"/>
      <c r="AL133" s="129"/>
      <c r="AM133" s="129"/>
      <c r="AN133" s="129"/>
      <c r="AO133" s="129"/>
      <c r="AP133" s="129"/>
      <c r="AQ133" s="129"/>
      <c r="AR133" s="129"/>
      <c r="AS133" s="129"/>
      <c r="AT133" s="129"/>
      <c r="AU133" s="129"/>
      <c r="AV133" s="129"/>
      <c r="AW133" s="129"/>
      <c r="AX133" s="129"/>
      <c r="AY133" s="129"/>
      <c r="AZ133" s="129"/>
      <c r="BA133" s="129"/>
      <c r="BB133" s="129"/>
      <c r="BC133" s="129"/>
      <c r="BD133" s="129"/>
      <c r="BE133" s="129"/>
      <c r="BF133" s="129"/>
      <c r="BG133" s="129"/>
      <c r="BH133" s="129"/>
      <c r="BI133" s="129"/>
      <c r="BJ133" s="129"/>
      <c r="BK133" s="129"/>
      <c r="BL133" s="129"/>
      <c r="BM133" s="129"/>
      <c r="BN133" s="129"/>
      <c r="BO133" s="129"/>
      <c r="BP133" s="129"/>
      <c r="BQ133" s="129"/>
      <c r="BR133" s="129"/>
      <c r="BS133" s="129"/>
      <c r="BT133" s="129"/>
      <c r="BU133" s="129"/>
      <c r="BV133" s="129"/>
      <c r="BW133" s="129"/>
      <c r="BX133" s="129"/>
      <c r="BY133" s="129"/>
      <c r="BZ133" s="129"/>
      <c r="CA133" s="129"/>
      <c r="CB133" s="129"/>
      <c r="CC133" s="129"/>
      <c r="CD133" s="129"/>
      <c r="CE133" s="129"/>
      <c r="CF133" s="129"/>
      <c r="CG133" s="129"/>
      <c r="CH133" s="129"/>
      <c r="CI133" s="129"/>
      <c r="CJ133" s="129"/>
      <c r="CK133" s="129"/>
      <c r="CL133" s="129"/>
      <c r="CM133" s="129"/>
      <c r="CN133" s="129"/>
      <c r="CO133" s="129"/>
      <c r="CP133" s="129"/>
      <c r="CQ133" s="129"/>
      <c r="CR133" s="129"/>
      <c r="CS133" s="129"/>
      <c r="CT133" s="129"/>
    </row>
    <row r="134" spans="2:98" s="120" customFormat="1">
      <c r="B134" s="2"/>
      <c r="C134" s="3"/>
      <c r="D134" s="2"/>
      <c r="E134" s="2"/>
      <c r="F134" s="3"/>
      <c r="G134" s="2"/>
      <c r="H134" s="129"/>
      <c r="I134" s="129"/>
      <c r="J134" s="129"/>
      <c r="K134" s="129"/>
      <c r="L134" s="129"/>
      <c r="M134" s="129"/>
      <c r="N134" s="129"/>
      <c r="O134" s="129"/>
      <c r="P134" s="129"/>
      <c r="Q134" s="129"/>
      <c r="R134" s="129"/>
      <c r="S134" s="129"/>
      <c r="T134" s="129"/>
      <c r="U134" s="129"/>
      <c r="V134" s="129"/>
      <c r="W134" s="129"/>
      <c r="X134" s="129"/>
      <c r="Y134" s="129"/>
      <c r="Z134" s="129"/>
      <c r="AA134" s="129"/>
      <c r="AB134" s="129"/>
      <c r="AC134" s="129"/>
      <c r="AD134" s="129"/>
      <c r="AE134" s="129"/>
      <c r="AF134" s="129"/>
      <c r="AG134" s="129"/>
      <c r="AH134" s="129"/>
      <c r="AI134" s="129"/>
      <c r="AJ134" s="129"/>
      <c r="AK134" s="129"/>
      <c r="AL134" s="129"/>
      <c r="AM134" s="129"/>
      <c r="AN134" s="129"/>
      <c r="AO134" s="129"/>
      <c r="AP134" s="129"/>
      <c r="AQ134" s="129"/>
      <c r="AR134" s="129"/>
      <c r="AS134" s="129"/>
      <c r="AT134" s="129"/>
      <c r="AU134" s="129"/>
      <c r="AV134" s="129"/>
      <c r="AW134" s="129"/>
      <c r="AX134" s="129"/>
      <c r="AY134" s="129"/>
      <c r="AZ134" s="129"/>
      <c r="BA134" s="129"/>
      <c r="BB134" s="129"/>
      <c r="BC134" s="129"/>
      <c r="BD134" s="129"/>
      <c r="BE134" s="129"/>
      <c r="BF134" s="129"/>
      <c r="BG134" s="129"/>
      <c r="BH134" s="129"/>
      <c r="BI134" s="129"/>
      <c r="BJ134" s="129"/>
      <c r="BK134" s="129"/>
      <c r="BL134" s="129"/>
      <c r="BM134" s="129"/>
      <c r="BN134" s="129"/>
      <c r="BO134" s="129"/>
      <c r="BP134" s="129"/>
      <c r="BQ134" s="129"/>
      <c r="BR134" s="129"/>
      <c r="BS134" s="129"/>
      <c r="BT134" s="129"/>
      <c r="BU134" s="129"/>
      <c r="BV134" s="129"/>
      <c r="BW134" s="129"/>
      <c r="BX134" s="129"/>
      <c r="BY134" s="129"/>
      <c r="BZ134" s="129"/>
      <c r="CA134" s="129"/>
      <c r="CB134" s="129"/>
      <c r="CC134" s="129"/>
      <c r="CD134" s="129"/>
      <c r="CE134" s="129"/>
      <c r="CF134" s="129"/>
      <c r="CG134" s="129"/>
      <c r="CH134" s="129"/>
      <c r="CI134" s="129"/>
      <c r="CJ134" s="129"/>
      <c r="CK134" s="129"/>
      <c r="CL134" s="129"/>
      <c r="CM134" s="129"/>
      <c r="CN134" s="129"/>
      <c r="CO134" s="129"/>
      <c r="CP134" s="129"/>
      <c r="CQ134" s="129"/>
      <c r="CR134" s="129"/>
      <c r="CS134" s="129"/>
      <c r="CT134" s="129"/>
    </row>
    <row r="135" spans="2:98" s="120" customFormat="1">
      <c r="B135" s="2"/>
      <c r="C135" s="3"/>
      <c r="D135" s="2"/>
      <c r="E135" s="2"/>
      <c r="F135" s="3"/>
      <c r="G135" s="2"/>
      <c r="H135" s="129"/>
      <c r="I135" s="129"/>
      <c r="J135" s="129"/>
      <c r="K135" s="129"/>
      <c r="L135" s="129"/>
      <c r="M135" s="129"/>
      <c r="N135" s="129"/>
      <c r="O135" s="129"/>
      <c r="P135" s="129"/>
      <c r="Q135" s="129"/>
      <c r="R135" s="129"/>
      <c r="S135" s="129"/>
      <c r="T135" s="129"/>
      <c r="U135" s="129"/>
      <c r="V135" s="129"/>
      <c r="W135" s="129"/>
      <c r="X135" s="129"/>
      <c r="Y135" s="129"/>
      <c r="Z135" s="129"/>
      <c r="AA135" s="129"/>
      <c r="AB135" s="129"/>
      <c r="AC135" s="129"/>
      <c r="AD135" s="129"/>
      <c r="AE135" s="129"/>
      <c r="AF135" s="129"/>
      <c r="AG135" s="129"/>
      <c r="AH135" s="129"/>
      <c r="AI135" s="129"/>
      <c r="AJ135" s="129"/>
      <c r="AK135" s="129"/>
      <c r="AL135" s="129"/>
      <c r="AM135" s="129"/>
      <c r="AN135" s="129"/>
      <c r="AO135" s="129"/>
      <c r="AP135" s="129"/>
      <c r="AQ135" s="129"/>
      <c r="AR135" s="129"/>
      <c r="AS135" s="129"/>
      <c r="AT135" s="129"/>
      <c r="AU135" s="129"/>
      <c r="AV135" s="129"/>
      <c r="AW135" s="129"/>
      <c r="AX135" s="129"/>
      <c r="AY135" s="129"/>
      <c r="AZ135" s="129"/>
      <c r="BA135" s="129"/>
      <c r="BB135" s="129"/>
      <c r="BC135" s="129"/>
      <c r="BD135" s="129"/>
      <c r="BE135" s="129"/>
      <c r="BF135" s="129"/>
      <c r="BG135" s="129"/>
      <c r="BH135" s="129"/>
      <c r="BI135" s="129"/>
      <c r="BJ135" s="129"/>
      <c r="BK135" s="129"/>
      <c r="BL135" s="129"/>
      <c r="BM135" s="129"/>
      <c r="BN135" s="129"/>
      <c r="BO135" s="129"/>
      <c r="BP135" s="129"/>
      <c r="BQ135" s="129"/>
      <c r="BR135" s="129"/>
      <c r="BS135" s="129"/>
      <c r="BT135" s="129"/>
      <c r="BU135" s="129"/>
      <c r="BV135" s="129"/>
      <c r="BW135" s="129"/>
      <c r="BX135" s="129"/>
      <c r="BY135" s="129"/>
      <c r="BZ135" s="129"/>
      <c r="CA135" s="129"/>
      <c r="CB135" s="129"/>
      <c r="CC135" s="129"/>
      <c r="CD135" s="129"/>
      <c r="CE135" s="129"/>
      <c r="CF135" s="129"/>
      <c r="CG135" s="129"/>
      <c r="CH135" s="129"/>
      <c r="CI135" s="129"/>
      <c r="CJ135" s="129"/>
      <c r="CK135" s="129"/>
      <c r="CL135" s="129"/>
      <c r="CM135" s="129"/>
      <c r="CN135" s="129"/>
      <c r="CO135" s="129"/>
      <c r="CP135" s="129"/>
      <c r="CQ135" s="129"/>
      <c r="CR135" s="129"/>
      <c r="CS135" s="129"/>
      <c r="CT135" s="129"/>
    </row>
    <row r="136" spans="2:98" s="120" customFormat="1">
      <c r="B136" s="2"/>
      <c r="C136" s="3"/>
      <c r="D136" s="2"/>
      <c r="E136" s="2"/>
      <c r="F136" s="3"/>
      <c r="G136" s="2"/>
      <c r="H136" s="129"/>
      <c r="I136" s="129"/>
      <c r="J136" s="129"/>
      <c r="K136" s="129"/>
      <c r="L136" s="129"/>
      <c r="M136" s="129"/>
      <c r="N136" s="129"/>
      <c r="O136" s="129"/>
      <c r="P136" s="129"/>
      <c r="Q136" s="129"/>
      <c r="R136" s="129"/>
      <c r="S136" s="129"/>
      <c r="T136" s="129"/>
      <c r="U136" s="129"/>
      <c r="V136" s="129"/>
      <c r="W136" s="129"/>
      <c r="X136" s="129"/>
      <c r="Y136" s="129"/>
      <c r="Z136" s="129"/>
      <c r="AA136" s="129"/>
      <c r="AB136" s="129"/>
      <c r="AC136" s="129"/>
      <c r="AD136" s="129"/>
      <c r="AE136" s="129"/>
      <c r="AF136" s="129"/>
      <c r="AG136" s="129"/>
      <c r="AH136" s="129"/>
      <c r="AI136" s="129"/>
      <c r="AJ136" s="129"/>
      <c r="AK136" s="129"/>
      <c r="AL136" s="129"/>
      <c r="AM136" s="129"/>
      <c r="AN136" s="129"/>
      <c r="AO136" s="129"/>
      <c r="AP136" s="129"/>
      <c r="AQ136" s="129"/>
      <c r="AR136" s="129"/>
      <c r="AS136" s="129"/>
      <c r="AT136" s="129"/>
      <c r="AU136" s="129"/>
      <c r="AV136" s="129"/>
      <c r="AW136" s="129"/>
      <c r="AX136" s="129"/>
      <c r="AY136" s="129"/>
      <c r="AZ136" s="129"/>
      <c r="BA136" s="129"/>
      <c r="BB136" s="129"/>
      <c r="BC136" s="129"/>
      <c r="BD136" s="129"/>
      <c r="BE136" s="129"/>
      <c r="BF136" s="129"/>
      <c r="BG136" s="129"/>
      <c r="BH136" s="129"/>
      <c r="BI136" s="129"/>
      <c r="BJ136" s="129"/>
      <c r="BK136" s="129"/>
      <c r="BL136" s="129"/>
      <c r="BM136" s="129"/>
      <c r="BN136" s="129"/>
      <c r="BO136" s="129"/>
      <c r="BP136" s="129"/>
      <c r="BQ136" s="129"/>
      <c r="BR136" s="129"/>
      <c r="BS136" s="129"/>
      <c r="BT136" s="129"/>
      <c r="BU136" s="129"/>
      <c r="BV136" s="129"/>
      <c r="BW136" s="129"/>
      <c r="BX136" s="129"/>
      <c r="BY136" s="129"/>
      <c r="BZ136" s="129"/>
      <c r="CA136" s="129"/>
      <c r="CB136" s="129"/>
      <c r="CC136" s="129"/>
      <c r="CD136" s="129"/>
      <c r="CE136" s="129"/>
      <c r="CF136" s="129"/>
      <c r="CG136" s="129"/>
      <c r="CH136" s="129"/>
      <c r="CI136" s="129"/>
      <c r="CJ136" s="129"/>
      <c r="CK136" s="129"/>
      <c r="CL136" s="129"/>
      <c r="CM136" s="129"/>
      <c r="CN136" s="129"/>
      <c r="CO136" s="129"/>
      <c r="CP136" s="129"/>
      <c r="CQ136" s="129"/>
      <c r="CR136" s="129"/>
      <c r="CS136" s="129"/>
      <c r="CT136" s="129"/>
    </row>
    <row r="137" spans="2:98" s="120" customFormat="1">
      <c r="B137" s="2"/>
      <c r="C137" s="3"/>
      <c r="D137" s="2"/>
      <c r="E137" s="2"/>
      <c r="F137" s="3"/>
      <c r="G137" s="2"/>
      <c r="H137" s="129"/>
      <c r="I137" s="129"/>
      <c r="J137" s="129"/>
      <c r="K137" s="129"/>
      <c r="L137" s="129"/>
      <c r="M137" s="129"/>
      <c r="N137" s="129"/>
      <c r="O137" s="129"/>
      <c r="P137" s="129"/>
      <c r="Q137" s="129"/>
      <c r="R137" s="129"/>
      <c r="S137" s="129"/>
      <c r="T137" s="129"/>
      <c r="U137" s="129"/>
      <c r="V137" s="129"/>
      <c r="W137" s="129"/>
      <c r="X137" s="129"/>
      <c r="Y137" s="129"/>
      <c r="Z137" s="129"/>
      <c r="AA137" s="129"/>
      <c r="AB137" s="129"/>
      <c r="AC137" s="129"/>
      <c r="AD137" s="129"/>
      <c r="AE137" s="129"/>
      <c r="AF137" s="129"/>
      <c r="AG137" s="129"/>
      <c r="AH137" s="129"/>
      <c r="AI137" s="129"/>
      <c r="AJ137" s="129"/>
      <c r="AK137" s="129"/>
      <c r="AL137" s="129"/>
      <c r="AM137" s="129"/>
      <c r="AN137" s="129"/>
      <c r="AO137" s="129"/>
      <c r="AP137" s="129"/>
      <c r="AQ137" s="129"/>
      <c r="AR137" s="129"/>
      <c r="AS137" s="129"/>
      <c r="AT137" s="129"/>
      <c r="AU137" s="129"/>
      <c r="AV137" s="129"/>
      <c r="AW137" s="129"/>
      <c r="AX137" s="129"/>
      <c r="AY137" s="129"/>
      <c r="AZ137" s="129"/>
      <c r="BA137" s="129"/>
      <c r="BB137" s="129"/>
      <c r="BC137" s="129"/>
      <c r="BD137" s="129"/>
      <c r="BE137" s="129"/>
      <c r="BF137" s="129"/>
      <c r="BG137" s="129"/>
      <c r="BH137" s="129"/>
      <c r="BI137" s="129"/>
      <c r="BJ137" s="129"/>
      <c r="BK137" s="129"/>
      <c r="BL137" s="129"/>
      <c r="BM137" s="129"/>
      <c r="BN137" s="129"/>
      <c r="BO137" s="129"/>
      <c r="BP137" s="129"/>
      <c r="BQ137" s="129"/>
      <c r="BR137" s="129"/>
      <c r="BS137" s="129"/>
      <c r="BT137" s="129"/>
      <c r="BU137" s="129"/>
      <c r="BV137" s="129"/>
      <c r="BW137" s="129"/>
      <c r="BX137" s="129"/>
      <c r="BY137" s="129"/>
      <c r="BZ137" s="129"/>
      <c r="CA137" s="129"/>
      <c r="CB137" s="129"/>
      <c r="CC137" s="129"/>
      <c r="CD137" s="129"/>
      <c r="CE137" s="129"/>
      <c r="CF137" s="129"/>
      <c r="CG137" s="129"/>
      <c r="CH137" s="129"/>
      <c r="CI137" s="129"/>
      <c r="CJ137" s="129"/>
      <c r="CK137" s="129"/>
      <c r="CL137" s="129"/>
      <c r="CM137" s="129"/>
      <c r="CN137" s="129"/>
      <c r="CO137" s="129"/>
      <c r="CP137" s="129"/>
      <c r="CQ137" s="129"/>
      <c r="CR137" s="129"/>
      <c r="CS137" s="129"/>
      <c r="CT137" s="129"/>
    </row>
    <row r="138" spans="2:98" s="120" customFormat="1">
      <c r="B138" s="2"/>
      <c r="C138" s="3"/>
      <c r="D138" s="2"/>
      <c r="E138" s="2"/>
      <c r="F138" s="3"/>
      <c r="G138" s="2"/>
      <c r="H138" s="129"/>
      <c r="I138" s="129"/>
      <c r="J138" s="129"/>
      <c r="K138" s="129"/>
      <c r="L138" s="129"/>
      <c r="M138" s="129"/>
      <c r="N138" s="129"/>
      <c r="O138" s="129"/>
      <c r="P138" s="129"/>
      <c r="Q138" s="129"/>
      <c r="R138" s="129"/>
      <c r="S138" s="129"/>
      <c r="T138" s="129"/>
      <c r="U138" s="129"/>
      <c r="V138" s="129"/>
      <c r="W138" s="129"/>
      <c r="X138" s="129"/>
      <c r="Y138" s="129"/>
      <c r="Z138" s="129"/>
      <c r="AA138" s="129"/>
      <c r="AB138" s="129"/>
      <c r="AC138" s="129"/>
      <c r="AD138" s="129"/>
      <c r="AE138" s="129"/>
      <c r="AF138" s="129"/>
      <c r="AG138" s="129"/>
      <c r="AH138" s="129"/>
      <c r="AI138" s="129"/>
      <c r="AJ138" s="129"/>
      <c r="AK138" s="129"/>
      <c r="AL138" s="129"/>
      <c r="AM138" s="129"/>
      <c r="AN138" s="129"/>
      <c r="AO138" s="129"/>
      <c r="AP138" s="129"/>
      <c r="AQ138" s="129"/>
      <c r="AR138" s="129"/>
      <c r="AS138" s="129"/>
      <c r="AT138" s="129"/>
      <c r="AU138" s="129"/>
      <c r="AV138" s="129"/>
      <c r="AW138" s="129"/>
      <c r="AX138" s="129"/>
      <c r="AY138" s="129"/>
      <c r="AZ138" s="129"/>
      <c r="BA138" s="129"/>
      <c r="BB138" s="129"/>
      <c r="BC138" s="129"/>
      <c r="BD138" s="129"/>
      <c r="BE138" s="129"/>
      <c r="BF138" s="129"/>
      <c r="BG138" s="129"/>
      <c r="BH138" s="129"/>
      <c r="BI138" s="129"/>
      <c r="BJ138" s="129"/>
      <c r="BK138" s="129"/>
      <c r="BL138" s="129"/>
      <c r="BM138" s="129"/>
      <c r="BN138" s="129"/>
      <c r="BO138" s="129"/>
      <c r="BP138" s="129"/>
      <c r="BQ138" s="129"/>
      <c r="BR138" s="129"/>
      <c r="BS138" s="129"/>
      <c r="BT138" s="129"/>
      <c r="BU138" s="129"/>
      <c r="BV138" s="129"/>
      <c r="BW138" s="129"/>
      <c r="BX138" s="129"/>
      <c r="BY138" s="129"/>
      <c r="BZ138" s="129"/>
      <c r="CA138" s="129"/>
      <c r="CB138" s="129"/>
      <c r="CC138" s="129"/>
      <c r="CD138" s="129"/>
      <c r="CE138" s="129"/>
      <c r="CF138" s="129"/>
      <c r="CG138" s="129"/>
      <c r="CH138" s="129"/>
      <c r="CI138" s="129"/>
      <c r="CJ138" s="129"/>
      <c r="CK138" s="129"/>
      <c r="CL138" s="129"/>
      <c r="CM138" s="129"/>
      <c r="CN138" s="129"/>
      <c r="CO138" s="129"/>
      <c r="CP138" s="129"/>
      <c r="CQ138" s="129"/>
      <c r="CR138" s="129"/>
      <c r="CS138" s="129"/>
      <c r="CT138" s="129"/>
    </row>
    <row r="139" spans="2:98" s="120" customFormat="1">
      <c r="B139" s="2"/>
      <c r="C139" s="3"/>
      <c r="D139" s="2"/>
      <c r="E139" s="2"/>
      <c r="F139" s="3"/>
      <c r="G139" s="2"/>
      <c r="H139" s="129"/>
      <c r="I139" s="129"/>
      <c r="J139" s="129"/>
      <c r="K139" s="129"/>
      <c r="L139" s="129"/>
      <c r="M139" s="129"/>
      <c r="N139" s="129"/>
      <c r="O139" s="129"/>
      <c r="P139" s="129"/>
      <c r="Q139" s="129"/>
      <c r="R139" s="129"/>
      <c r="S139" s="129"/>
      <c r="T139" s="129"/>
      <c r="U139" s="129"/>
      <c r="V139" s="129"/>
      <c r="W139" s="129"/>
      <c r="X139" s="129"/>
      <c r="Y139" s="129"/>
      <c r="Z139" s="129"/>
      <c r="AA139" s="129"/>
      <c r="AB139" s="129"/>
      <c r="AC139" s="129"/>
      <c r="AD139" s="129"/>
      <c r="AE139" s="129"/>
      <c r="AF139" s="129"/>
      <c r="AG139" s="129"/>
      <c r="AH139" s="129"/>
      <c r="AI139" s="129"/>
      <c r="AJ139" s="129"/>
      <c r="AK139" s="129"/>
      <c r="AL139" s="129"/>
      <c r="AM139" s="129"/>
      <c r="AN139" s="129"/>
      <c r="AO139" s="129"/>
      <c r="AP139" s="129"/>
      <c r="AQ139" s="129"/>
      <c r="AR139" s="129"/>
      <c r="AS139" s="129"/>
      <c r="AT139" s="129"/>
      <c r="AU139" s="129"/>
      <c r="AV139" s="129"/>
      <c r="AW139" s="129"/>
      <c r="AX139" s="129"/>
      <c r="AY139" s="129"/>
      <c r="AZ139" s="129"/>
      <c r="BA139" s="129"/>
      <c r="BB139" s="129"/>
      <c r="BC139" s="129"/>
      <c r="BD139" s="129"/>
      <c r="BE139" s="129"/>
      <c r="BF139" s="129"/>
      <c r="BG139" s="129"/>
      <c r="BH139" s="129"/>
      <c r="BI139" s="129"/>
      <c r="BJ139" s="129"/>
      <c r="BK139" s="129"/>
      <c r="BL139" s="129"/>
      <c r="BM139" s="129"/>
      <c r="BN139" s="129"/>
      <c r="BO139" s="129"/>
      <c r="BP139" s="129"/>
      <c r="BQ139" s="129"/>
      <c r="BR139" s="129"/>
      <c r="BS139" s="129"/>
      <c r="BT139" s="129"/>
      <c r="BU139" s="129"/>
      <c r="BV139" s="129"/>
      <c r="BW139" s="129"/>
      <c r="BX139" s="129"/>
      <c r="BY139" s="129"/>
      <c r="BZ139" s="129"/>
      <c r="CA139" s="129"/>
      <c r="CB139" s="129"/>
      <c r="CC139" s="129"/>
      <c r="CD139" s="129"/>
      <c r="CE139" s="129"/>
      <c r="CF139" s="129"/>
      <c r="CG139" s="129"/>
      <c r="CH139" s="129"/>
      <c r="CI139" s="129"/>
      <c r="CJ139" s="129"/>
      <c r="CK139" s="129"/>
      <c r="CL139" s="129"/>
      <c r="CM139" s="129"/>
      <c r="CN139" s="129"/>
      <c r="CO139" s="129"/>
      <c r="CP139" s="129"/>
      <c r="CQ139" s="129"/>
      <c r="CR139" s="129"/>
      <c r="CS139" s="129"/>
      <c r="CT139" s="129"/>
    </row>
    <row r="140" spans="2:98" s="120" customFormat="1">
      <c r="B140" s="2"/>
      <c r="C140" s="3"/>
      <c r="D140" s="2"/>
      <c r="E140" s="2"/>
      <c r="F140" s="3"/>
      <c r="G140" s="2"/>
      <c r="H140" s="129"/>
      <c r="I140" s="129"/>
      <c r="J140" s="129"/>
      <c r="K140" s="129"/>
      <c r="L140" s="129"/>
      <c r="M140" s="129"/>
      <c r="N140" s="129"/>
      <c r="O140" s="129"/>
      <c r="P140" s="129"/>
      <c r="Q140" s="129"/>
      <c r="R140" s="129"/>
      <c r="S140" s="129"/>
      <c r="T140" s="129"/>
      <c r="U140" s="129"/>
      <c r="V140" s="129"/>
      <c r="W140" s="129"/>
      <c r="X140" s="129"/>
      <c r="Y140" s="129"/>
      <c r="Z140" s="129"/>
      <c r="AA140" s="129"/>
      <c r="AB140" s="129"/>
      <c r="AC140" s="129"/>
      <c r="AD140" s="129"/>
      <c r="AE140" s="129"/>
      <c r="AF140" s="129"/>
      <c r="AG140" s="129"/>
      <c r="AH140" s="129"/>
      <c r="AI140" s="129"/>
      <c r="AJ140" s="129"/>
      <c r="AK140" s="129"/>
      <c r="AL140" s="129"/>
      <c r="AM140" s="129"/>
      <c r="AN140" s="129"/>
      <c r="AO140" s="129"/>
      <c r="AP140" s="129"/>
      <c r="AQ140" s="129"/>
      <c r="AR140" s="129"/>
      <c r="AS140" s="129"/>
      <c r="AT140" s="129"/>
      <c r="AU140" s="129"/>
      <c r="AV140" s="129"/>
      <c r="AW140" s="129"/>
      <c r="AX140" s="129"/>
      <c r="AY140" s="129"/>
      <c r="AZ140" s="129"/>
      <c r="BA140" s="129"/>
      <c r="BB140" s="129"/>
      <c r="BC140" s="129"/>
      <c r="BD140" s="129"/>
      <c r="BE140" s="129"/>
      <c r="BF140" s="129"/>
      <c r="BG140" s="129"/>
      <c r="BH140" s="129"/>
      <c r="BI140" s="129"/>
      <c r="BJ140" s="129"/>
      <c r="BK140" s="129"/>
      <c r="BL140" s="129"/>
      <c r="BM140" s="129"/>
      <c r="BN140" s="129"/>
      <c r="BO140" s="129"/>
      <c r="BP140" s="129"/>
      <c r="BQ140" s="129"/>
      <c r="BR140" s="129"/>
      <c r="BS140" s="129"/>
      <c r="BT140" s="129"/>
      <c r="BU140" s="129"/>
      <c r="BV140" s="129"/>
      <c r="BW140" s="129"/>
      <c r="BX140" s="129"/>
      <c r="BY140" s="129"/>
      <c r="BZ140" s="129"/>
      <c r="CA140" s="129"/>
      <c r="CB140" s="129"/>
      <c r="CC140" s="129"/>
      <c r="CD140" s="129"/>
      <c r="CE140" s="129"/>
      <c r="CF140" s="129"/>
      <c r="CG140" s="129"/>
      <c r="CH140" s="129"/>
      <c r="CI140" s="129"/>
      <c r="CJ140" s="129"/>
      <c r="CK140" s="129"/>
      <c r="CL140" s="129"/>
      <c r="CM140" s="129"/>
      <c r="CN140" s="129"/>
      <c r="CO140" s="129"/>
      <c r="CP140" s="129"/>
      <c r="CQ140" s="129"/>
      <c r="CR140" s="129"/>
      <c r="CS140" s="129"/>
      <c r="CT140" s="129"/>
    </row>
    <row r="141" spans="2:98" s="120" customFormat="1">
      <c r="B141" s="2"/>
      <c r="C141" s="3"/>
      <c r="D141" s="2"/>
      <c r="E141" s="2"/>
      <c r="F141" s="3"/>
      <c r="G141" s="2"/>
      <c r="H141" s="129"/>
      <c r="I141" s="129"/>
      <c r="J141" s="129"/>
      <c r="K141" s="129"/>
      <c r="L141" s="129"/>
      <c r="M141" s="129"/>
      <c r="N141" s="129"/>
      <c r="O141" s="129"/>
      <c r="P141" s="129"/>
      <c r="Q141" s="129"/>
      <c r="R141" s="129"/>
      <c r="S141" s="129"/>
      <c r="T141" s="129"/>
      <c r="U141" s="129"/>
      <c r="V141" s="129"/>
      <c r="W141" s="129"/>
      <c r="X141" s="129"/>
      <c r="Y141" s="129"/>
      <c r="Z141" s="129"/>
      <c r="AA141" s="129"/>
      <c r="AB141" s="129"/>
      <c r="AC141" s="129"/>
      <c r="AD141" s="129"/>
      <c r="AE141" s="129"/>
      <c r="AF141" s="129"/>
      <c r="AG141" s="129"/>
      <c r="AH141" s="129"/>
      <c r="AI141" s="129"/>
      <c r="AJ141" s="129"/>
      <c r="AK141" s="129"/>
      <c r="AL141" s="129"/>
      <c r="AM141" s="129"/>
      <c r="AN141" s="129"/>
      <c r="AO141" s="129"/>
      <c r="AP141" s="129"/>
      <c r="AQ141" s="129"/>
      <c r="AR141" s="129"/>
      <c r="AS141" s="129"/>
      <c r="AT141" s="129"/>
      <c r="AU141" s="129"/>
      <c r="AV141" s="129"/>
      <c r="AW141" s="129"/>
      <c r="AX141" s="129"/>
      <c r="AY141" s="129"/>
      <c r="AZ141" s="129"/>
      <c r="BA141" s="129"/>
      <c r="BB141" s="129"/>
      <c r="BC141" s="129"/>
      <c r="BD141" s="129"/>
      <c r="BE141" s="129"/>
      <c r="BF141" s="129"/>
      <c r="BG141" s="129"/>
      <c r="BH141" s="129"/>
      <c r="BI141" s="129"/>
      <c r="BJ141" s="129"/>
      <c r="BK141" s="129"/>
      <c r="BL141" s="129"/>
      <c r="BM141" s="129"/>
      <c r="BN141" s="129"/>
      <c r="BO141" s="129"/>
      <c r="BP141" s="129"/>
      <c r="BQ141" s="129"/>
      <c r="BR141" s="129"/>
      <c r="BS141" s="129"/>
      <c r="BT141" s="129"/>
      <c r="BU141" s="129"/>
      <c r="BV141" s="129"/>
      <c r="BW141" s="129"/>
      <c r="BX141" s="129"/>
      <c r="BY141" s="129"/>
      <c r="BZ141" s="129"/>
      <c r="CA141" s="129"/>
      <c r="CB141" s="129"/>
      <c r="CC141" s="129"/>
      <c r="CD141" s="129"/>
      <c r="CE141" s="129"/>
      <c r="CF141" s="129"/>
      <c r="CG141" s="129"/>
      <c r="CH141" s="129"/>
      <c r="CI141" s="129"/>
      <c r="CJ141" s="129"/>
      <c r="CK141" s="129"/>
      <c r="CL141" s="129"/>
      <c r="CM141" s="129"/>
      <c r="CN141" s="129"/>
      <c r="CO141" s="129"/>
      <c r="CP141" s="129"/>
      <c r="CQ141" s="129"/>
      <c r="CR141" s="129"/>
      <c r="CS141" s="129"/>
      <c r="CT141" s="129"/>
    </row>
    <row r="142" spans="2:98" s="120" customFormat="1">
      <c r="B142" s="2"/>
      <c r="C142" s="3"/>
      <c r="D142" s="2"/>
      <c r="E142" s="2"/>
      <c r="F142" s="3"/>
      <c r="G142" s="2"/>
      <c r="H142" s="129"/>
      <c r="I142" s="129"/>
      <c r="J142" s="129"/>
      <c r="K142" s="129"/>
      <c r="L142" s="129"/>
      <c r="M142" s="129"/>
      <c r="N142" s="129"/>
      <c r="O142" s="129"/>
      <c r="P142" s="129"/>
      <c r="Q142" s="129"/>
      <c r="R142" s="129"/>
      <c r="S142" s="129"/>
      <c r="T142" s="129"/>
      <c r="U142" s="129"/>
      <c r="V142" s="129"/>
      <c r="W142" s="129"/>
      <c r="X142" s="129"/>
      <c r="Y142" s="129"/>
      <c r="Z142" s="129"/>
      <c r="AA142" s="129"/>
      <c r="AB142" s="129"/>
      <c r="AC142" s="129"/>
      <c r="AD142" s="129"/>
      <c r="AE142" s="129"/>
      <c r="AF142" s="129"/>
      <c r="AG142" s="129"/>
      <c r="AH142" s="129"/>
      <c r="AI142" s="129"/>
      <c r="AJ142" s="129"/>
      <c r="AK142" s="129"/>
      <c r="AL142" s="129"/>
      <c r="AM142" s="129"/>
      <c r="AN142" s="129"/>
      <c r="AO142" s="129"/>
      <c r="AP142" s="129"/>
      <c r="AQ142" s="129"/>
      <c r="AR142" s="129"/>
      <c r="AS142" s="129"/>
      <c r="AT142" s="129"/>
      <c r="AU142" s="129"/>
      <c r="AV142" s="129"/>
      <c r="AW142" s="129"/>
      <c r="AX142" s="129"/>
      <c r="AY142" s="129"/>
      <c r="AZ142" s="129"/>
      <c r="BA142" s="129"/>
      <c r="BB142" s="129"/>
      <c r="BC142" s="129"/>
      <c r="BD142" s="129"/>
      <c r="BE142" s="129"/>
      <c r="BF142" s="129"/>
      <c r="BG142" s="129"/>
      <c r="BH142" s="129"/>
      <c r="BI142" s="129"/>
      <c r="BJ142" s="129"/>
      <c r="BK142" s="129"/>
      <c r="BL142" s="129"/>
      <c r="BM142" s="129"/>
      <c r="BN142" s="129"/>
      <c r="BO142" s="129"/>
      <c r="BP142" s="129"/>
      <c r="BQ142" s="129"/>
      <c r="BR142" s="129"/>
      <c r="BS142" s="129"/>
      <c r="BT142" s="129"/>
      <c r="BU142" s="129"/>
      <c r="BV142" s="129"/>
      <c r="BW142" s="129"/>
      <c r="BX142" s="129"/>
      <c r="BY142" s="129"/>
      <c r="BZ142" s="129"/>
      <c r="CA142" s="129"/>
      <c r="CB142" s="129"/>
      <c r="CC142" s="129"/>
      <c r="CD142" s="129"/>
      <c r="CE142" s="129"/>
      <c r="CF142" s="129"/>
      <c r="CG142" s="129"/>
      <c r="CH142" s="129"/>
      <c r="CI142" s="129"/>
      <c r="CJ142" s="129"/>
      <c r="CK142" s="129"/>
      <c r="CL142" s="129"/>
      <c r="CM142" s="129"/>
      <c r="CN142" s="129"/>
      <c r="CO142" s="129"/>
      <c r="CP142" s="129"/>
      <c r="CQ142" s="129"/>
      <c r="CR142" s="129"/>
      <c r="CS142" s="129"/>
      <c r="CT142" s="129"/>
    </row>
    <row r="143" spans="2:98" s="120" customFormat="1">
      <c r="B143" s="2"/>
      <c r="C143" s="3"/>
      <c r="D143" s="2"/>
      <c r="E143" s="2"/>
      <c r="F143" s="3"/>
      <c r="G143" s="2"/>
      <c r="H143" s="129"/>
      <c r="I143" s="129"/>
      <c r="J143" s="129"/>
      <c r="K143" s="129"/>
      <c r="L143" s="129"/>
      <c r="M143" s="129"/>
      <c r="N143" s="129"/>
      <c r="O143" s="129"/>
      <c r="P143" s="129"/>
      <c r="Q143" s="129"/>
      <c r="R143" s="129"/>
      <c r="S143" s="129"/>
      <c r="T143" s="129"/>
      <c r="U143" s="129"/>
      <c r="V143" s="129"/>
      <c r="W143" s="129"/>
      <c r="X143" s="129"/>
      <c r="Y143" s="129"/>
      <c r="Z143" s="129"/>
      <c r="AA143" s="129"/>
      <c r="AB143" s="129"/>
      <c r="AC143" s="129"/>
      <c r="AD143" s="129"/>
      <c r="AE143" s="129"/>
      <c r="AF143" s="129"/>
      <c r="AG143" s="129"/>
      <c r="AH143" s="129"/>
      <c r="AI143" s="129"/>
      <c r="AJ143" s="129"/>
      <c r="AK143" s="129"/>
      <c r="AL143" s="129"/>
      <c r="AM143" s="129"/>
      <c r="AN143" s="129"/>
      <c r="AO143" s="129"/>
      <c r="AP143" s="129"/>
      <c r="AQ143" s="129"/>
      <c r="AR143" s="129"/>
      <c r="AS143" s="129"/>
      <c r="AT143" s="129"/>
      <c r="AU143" s="129"/>
      <c r="AV143" s="129"/>
      <c r="AW143" s="129"/>
      <c r="AX143" s="129"/>
      <c r="AY143" s="129"/>
      <c r="AZ143" s="129"/>
      <c r="BA143" s="129"/>
      <c r="BB143" s="129"/>
      <c r="BC143" s="129"/>
      <c r="BD143" s="129"/>
      <c r="BE143" s="129"/>
      <c r="BF143" s="129"/>
      <c r="BG143" s="129"/>
      <c r="BH143" s="129"/>
      <c r="BI143" s="129"/>
      <c r="BJ143" s="129"/>
      <c r="BK143" s="129"/>
      <c r="BL143" s="129"/>
      <c r="BM143" s="129"/>
      <c r="BN143" s="129"/>
      <c r="BO143" s="129"/>
      <c r="BP143" s="129"/>
      <c r="BQ143" s="129"/>
      <c r="BR143" s="129"/>
      <c r="BS143" s="129"/>
      <c r="BT143" s="129"/>
      <c r="BU143" s="129"/>
      <c r="BV143" s="129"/>
      <c r="BW143" s="129"/>
      <c r="BX143" s="129"/>
      <c r="BY143" s="129"/>
      <c r="BZ143" s="129"/>
      <c r="CA143" s="129"/>
      <c r="CB143" s="129"/>
      <c r="CC143" s="129"/>
      <c r="CD143" s="129"/>
      <c r="CE143" s="129"/>
      <c r="CF143" s="129"/>
      <c r="CG143" s="129"/>
      <c r="CH143" s="129"/>
      <c r="CI143" s="129"/>
      <c r="CJ143" s="129"/>
      <c r="CK143" s="129"/>
      <c r="CL143" s="129"/>
      <c r="CM143" s="129"/>
      <c r="CN143" s="129"/>
      <c r="CO143" s="129"/>
      <c r="CP143" s="129"/>
      <c r="CQ143" s="129"/>
      <c r="CR143" s="129"/>
      <c r="CS143" s="129"/>
      <c r="CT143" s="129"/>
    </row>
    <row r="144" spans="2:98" s="120" customFormat="1">
      <c r="B144" s="2"/>
      <c r="C144" s="3"/>
      <c r="D144" s="2"/>
      <c r="E144" s="2"/>
      <c r="F144" s="3"/>
      <c r="G144" s="2"/>
      <c r="H144" s="129"/>
      <c r="I144" s="129"/>
      <c r="J144" s="129"/>
      <c r="K144" s="129"/>
      <c r="L144" s="129"/>
      <c r="M144" s="129"/>
      <c r="N144" s="129"/>
      <c r="O144" s="129"/>
      <c r="P144" s="129"/>
      <c r="Q144" s="129"/>
      <c r="R144" s="129"/>
      <c r="S144" s="129"/>
      <c r="T144" s="129"/>
      <c r="U144" s="129"/>
      <c r="V144" s="129"/>
      <c r="W144" s="129"/>
      <c r="X144" s="129"/>
      <c r="Y144" s="129"/>
      <c r="Z144" s="129"/>
      <c r="AA144" s="129"/>
      <c r="AB144" s="129"/>
      <c r="AC144" s="129"/>
      <c r="AD144" s="129"/>
      <c r="AE144" s="129"/>
      <c r="AF144" s="129"/>
      <c r="AG144" s="129"/>
      <c r="AH144" s="129"/>
      <c r="AI144" s="129"/>
      <c r="AJ144" s="129"/>
      <c r="AK144" s="129"/>
      <c r="AL144" s="129"/>
      <c r="AM144" s="129"/>
      <c r="AN144" s="129"/>
      <c r="AO144" s="129"/>
      <c r="AP144" s="129"/>
      <c r="AQ144" s="129"/>
      <c r="AR144" s="129"/>
      <c r="AS144" s="129"/>
      <c r="AT144" s="129"/>
      <c r="AU144" s="129"/>
      <c r="AV144" s="129"/>
      <c r="AW144" s="129"/>
      <c r="AX144" s="129"/>
      <c r="AY144" s="129"/>
      <c r="AZ144" s="129"/>
      <c r="BA144" s="129"/>
      <c r="BB144" s="129"/>
      <c r="BC144" s="129"/>
      <c r="BD144" s="129"/>
      <c r="BE144" s="129"/>
      <c r="BF144" s="129"/>
      <c r="BG144" s="129"/>
      <c r="BH144" s="129"/>
      <c r="BI144" s="129"/>
      <c r="BJ144" s="129"/>
      <c r="BK144" s="129"/>
      <c r="BL144" s="129"/>
      <c r="BM144" s="129"/>
      <c r="BN144" s="129"/>
      <c r="BO144" s="129"/>
      <c r="BP144" s="129"/>
      <c r="BQ144" s="129"/>
      <c r="BR144" s="129"/>
      <c r="BS144" s="129"/>
      <c r="BT144" s="129"/>
      <c r="BU144" s="129"/>
      <c r="BV144" s="129"/>
      <c r="BW144" s="129"/>
      <c r="BX144" s="129"/>
      <c r="BY144" s="129"/>
      <c r="BZ144" s="129"/>
      <c r="CA144" s="129"/>
      <c r="CB144" s="129"/>
      <c r="CC144" s="129"/>
      <c r="CD144" s="129"/>
      <c r="CE144" s="129"/>
      <c r="CF144" s="129"/>
      <c r="CG144" s="129"/>
      <c r="CH144" s="129"/>
      <c r="CI144" s="129"/>
      <c r="CJ144" s="129"/>
      <c r="CK144" s="129"/>
      <c r="CL144" s="129"/>
      <c r="CM144" s="129"/>
      <c r="CN144" s="129"/>
      <c r="CO144" s="129"/>
      <c r="CP144" s="129"/>
      <c r="CQ144" s="129"/>
      <c r="CR144" s="129"/>
      <c r="CS144" s="129"/>
      <c r="CT144" s="129"/>
    </row>
    <row r="145" spans="2:98" s="120" customFormat="1">
      <c r="B145" s="2"/>
      <c r="C145" s="3"/>
      <c r="D145" s="2"/>
      <c r="E145" s="2"/>
      <c r="F145" s="3"/>
      <c r="G145" s="2"/>
      <c r="H145" s="129"/>
      <c r="I145" s="129"/>
      <c r="J145" s="129"/>
      <c r="K145" s="129"/>
      <c r="L145" s="129"/>
      <c r="M145" s="129"/>
      <c r="N145" s="129"/>
      <c r="O145" s="129"/>
      <c r="P145" s="129"/>
      <c r="Q145" s="129"/>
      <c r="R145" s="129"/>
      <c r="S145" s="129"/>
      <c r="T145" s="129"/>
      <c r="U145" s="129"/>
      <c r="V145" s="129"/>
      <c r="W145" s="129"/>
      <c r="X145" s="129"/>
      <c r="Y145" s="129"/>
      <c r="Z145" s="129"/>
      <c r="AA145" s="129"/>
      <c r="AB145" s="129"/>
      <c r="AC145" s="129"/>
      <c r="AD145" s="129"/>
      <c r="AE145" s="129"/>
      <c r="AF145" s="129"/>
      <c r="AG145" s="129"/>
      <c r="AH145" s="129"/>
      <c r="AI145" s="129"/>
      <c r="AJ145" s="129"/>
      <c r="AK145" s="129"/>
      <c r="AL145" s="129"/>
      <c r="AM145" s="129"/>
      <c r="AN145" s="129"/>
      <c r="AO145" s="129"/>
      <c r="AP145" s="129"/>
      <c r="AQ145" s="129"/>
      <c r="AR145" s="129"/>
      <c r="AS145" s="129"/>
      <c r="AT145" s="129"/>
      <c r="AU145" s="129"/>
      <c r="AV145" s="129"/>
      <c r="AW145" s="129"/>
      <c r="AX145" s="129"/>
      <c r="AY145" s="129"/>
      <c r="AZ145" s="129"/>
      <c r="BA145" s="129"/>
      <c r="BB145" s="129"/>
      <c r="BC145" s="129"/>
      <c r="BD145" s="129"/>
      <c r="BE145" s="129"/>
      <c r="BF145" s="129"/>
      <c r="BG145" s="129"/>
      <c r="BH145" s="129"/>
      <c r="BI145" s="129"/>
      <c r="BJ145" s="129"/>
      <c r="BK145" s="129"/>
      <c r="BL145" s="129"/>
      <c r="BM145" s="129"/>
      <c r="BN145" s="129"/>
      <c r="BO145" s="129"/>
      <c r="BP145" s="129"/>
      <c r="BQ145" s="129"/>
      <c r="BR145" s="129"/>
      <c r="BS145" s="129"/>
      <c r="BT145" s="129"/>
      <c r="BU145" s="129"/>
      <c r="BV145" s="129"/>
      <c r="BW145" s="129"/>
      <c r="BX145" s="129"/>
      <c r="BY145" s="129"/>
      <c r="BZ145" s="129"/>
      <c r="CA145" s="129"/>
      <c r="CB145" s="129"/>
      <c r="CC145" s="129"/>
      <c r="CD145" s="129"/>
      <c r="CE145" s="129"/>
      <c r="CF145" s="129"/>
      <c r="CG145" s="129"/>
      <c r="CH145" s="129"/>
      <c r="CI145" s="129"/>
      <c r="CJ145" s="129"/>
      <c r="CK145" s="129"/>
      <c r="CL145" s="129"/>
      <c r="CM145" s="129"/>
      <c r="CN145" s="129"/>
      <c r="CO145" s="129"/>
      <c r="CP145" s="129"/>
      <c r="CQ145" s="129"/>
      <c r="CR145" s="129"/>
      <c r="CS145" s="129"/>
      <c r="CT145" s="129"/>
    </row>
    <row r="146" spans="2:98" s="120" customFormat="1">
      <c r="B146" s="2"/>
      <c r="C146" s="3"/>
      <c r="D146" s="2"/>
      <c r="E146" s="2"/>
      <c r="F146" s="3"/>
      <c r="G146" s="2"/>
      <c r="H146" s="129"/>
      <c r="I146" s="129"/>
      <c r="J146" s="129"/>
      <c r="K146" s="129"/>
      <c r="L146" s="129"/>
      <c r="M146" s="129"/>
      <c r="N146" s="129"/>
      <c r="O146" s="129"/>
      <c r="P146" s="129"/>
      <c r="Q146" s="129"/>
      <c r="R146" s="129"/>
      <c r="S146" s="129"/>
      <c r="T146" s="129"/>
      <c r="U146" s="129"/>
      <c r="V146" s="129"/>
      <c r="W146" s="129"/>
      <c r="X146" s="129"/>
      <c r="Y146" s="129"/>
      <c r="Z146" s="129"/>
      <c r="AA146" s="129"/>
      <c r="AB146" s="129"/>
      <c r="AC146" s="129"/>
      <c r="AD146" s="129"/>
      <c r="AE146" s="129"/>
      <c r="AF146" s="129"/>
      <c r="AG146" s="129"/>
      <c r="AH146" s="129"/>
      <c r="AI146" s="129"/>
      <c r="AJ146" s="129"/>
      <c r="AK146" s="129"/>
      <c r="AL146" s="129"/>
      <c r="AM146" s="129"/>
      <c r="AN146" s="129"/>
      <c r="AO146" s="129"/>
      <c r="AP146" s="129"/>
      <c r="AQ146" s="129"/>
      <c r="AR146" s="129"/>
      <c r="AS146" s="129"/>
      <c r="AT146" s="129"/>
      <c r="AU146" s="129"/>
      <c r="AV146" s="129"/>
      <c r="AW146" s="129"/>
      <c r="AX146" s="129"/>
      <c r="AY146" s="129"/>
      <c r="AZ146" s="129"/>
      <c r="BA146" s="129"/>
      <c r="BB146" s="129"/>
      <c r="BC146" s="129"/>
      <c r="BD146" s="129"/>
      <c r="BE146" s="129"/>
      <c r="BF146" s="129"/>
      <c r="BG146" s="129"/>
      <c r="BH146" s="129"/>
      <c r="BI146" s="129"/>
      <c r="BJ146" s="129"/>
      <c r="BK146" s="129"/>
      <c r="BL146" s="129"/>
      <c r="BM146" s="129"/>
      <c r="BN146" s="129"/>
      <c r="BO146" s="129"/>
      <c r="BP146" s="129"/>
      <c r="BQ146" s="129"/>
      <c r="BR146" s="129"/>
      <c r="BS146" s="129"/>
      <c r="BT146" s="129"/>
      <c r="BU146" s="129"/>
      <c r="BV146" s="129"/>
      <c r="BW146" s="129"/>
      <c r="BX146" s="129"/>
      <c r="BY146" s="129"/>
      <c r="BZ146" s="129"/>
      <c r="CA146" s="129"/>
      <c r="CB146" s="129"/>
      <c r="CC146" s="129"/>
      <c r="CD146" s="129"/>
      <c r="CE146" s="129"/>
      <c r="CF146" s="129"/>
      <c r="CG146" s="129"/>
      <c r="CH146" s="129"/>
      <c r="CI146" s="129"/>
      <c r="CJ146" s="129"/>
      <c r="CK146" s="129"/>
      <c r="CL146" s="129"/>
      <c r="CM146" s="129"/>
      <c r="CN146" s="129"/>
      <c r="CO146" s="129"/>
      <c r="CP146" s="129"/>
      <c r="CQ146" s="129"/>
      <c r="CR146" s="129"/>
      <c r="CS146" s="129"/>
      <c r="CT146" s="129"/>
    </row>
    <row r="147" spans="2:98" s="120" customFormat="1">
      <c r="B147" s="2"/>
      <c r="C147" s="3"/>
      <c r="D147" s="2"/>
      <c r="E147" s="2"/>
      <c r="F147" s="3"/>
      <c r="G147" s="2"/>
      <c r="H147" s="129"/>
      <c r="I147" s="129"/>
      <c r="J147" s="129"/>
      <c r="K147" s="129"/>
      <c r="L147" s="129"/>
      <c r="M147" s="129"/>
      <c r="N147" s="129"/>
      <c r="O147" s="129"/>
      <c r="P147" s="129"/>
      <c r="Q147" s="129"/>
      <c r="R147" s="129"/>
      <c r="S147" s="129"/>
      <c r="T147" s="129"/>
      <c r="U147" s="129"/>
      <c r="V147" s="129"/>
      <c r="W147" s="129"/>
      <c r="X147" s="129"/>
      <c r="Y147" s="129"/>
      <c r="Z147" s="129"/>
      <c r="AA147" s="129"/>
      <c r="AB147" s="129"/>
      <c r="AC147" s="129"/>
      <c r="AD147" s="129"/>
      <c r="AE147" s="129"/>
      <c r="AF147" s="129"/>
      <c r="AG147" s="129"/>
      <c r="AH147" s="129"/>
      <c r="AI147" s="129"/>
      <c r="AJ147" s="129"/>
      <c r="AK147" s="129"/>
      <c r="AL147" s="129"/>
      <c r="AM147" s="129"/>
      <c r="AN147" s="129"/>
      <c r="AO147" s="129"/>
      <c r="AP147" s="129"/>
      <c r="AQ147" s="129"/>
      <c r="AR147" s="129"/>
      <c r="AS147" s="129"/>
      <c r="AT147" s="129"/>
      <c r="AU147" s="129"/>
      <c r="AV147" s="129"/>
      <c r="AW147" s="129"/>
      <c r="AX147" s="129"/>
      <c r="AY147" s="129"/>
      <c r="AZ147" s="129"/>
      <c r="BA147" s="129"/>
      <c r="BB147" s="129"/>
      <c r="BC147" s="129"/>
      <c r="BD147" s="129"/>
      <c r="BE147" s="129"/>
      <c r="BF147" s="129"/>
      <c r="BG147" s="129"/>
      <c r="BH147" s="129"/>
      <c r="BI147" s="129"/>
      <c r="BJ147" s="129"/>
      <c r="BK147" s="129"/>
      <c r="BL147" s="129"/>
      <c r="BM147" s="129"/>
      <c r="BN147" s="129"/>
      <c r="BO147" s="129"/>
      <c r="BP147" s="129"/>
      <c r="BQ147" s="129"/>
      <c r="BR147" s="129"/>
      <c r="BS147" s="129"/>
      <c r="BT147" s="129"/>
      <c r="BU147" s="129"/>
      <c r="BV147" s="129"/>
      <c r="BW147" s="129"/>
      <c r="BX147" s="129"/>
      <c r="BY147" s="129"/>
      <c r="BZ147" s="129"/>
      <c r="CA147" s="129"/>
      <c r="CB147" s="129"/>
      <c r="CC147" s="129"/>
      <c r="CD147" s="129"/>
      <c r="CE147" s="129"/>
      <c r="CF147" s="129"/>
      <c r="CG147" s="129"/>
      <c r="CH147" s="129"/>
      <c r="CI147" s="129"/>
      <c r="CJ147" s="129"/>
      <c r="CK147" s="129"/>
      <c r="CL147" s="129"/>
      <c r="CM147" s="129"/>
      <c r="CN147" s="129"/>
      <c r="CO147" s="129"/>
      <c r="CP147" s="129"/>
      <c r="CQ147" s="129"/>
      <c r="CR147" s="129"/>
      <c r="CS147" s="129"/>
      <c r="CT147" s="129"/>
    </row>
    <row r="148" spans="2:98" s="120" customFormat="1">
      <c r="B148" s="2"/>
      <c r="C148" s="3"/>
      <c r="D148" s="2"/>
      <c r="E148" s="2"/>
      <c r="F148" s="3"/>
      <c r="G148" s="2"/>
      <c r="H148" s="129"/>
      <c r="I148" s="129"/>
      <c r="J148" s="129"/>
      <c r="K148" s="129"/>
      <c r="L148" s="129"/>
      <c r="M148" s="129"/>
      <c r="N148" s="129"/>
      <c r="O148" s="129"/>
      <c r="P148" s="129"/>
      <c r="Q148" s="129"/>
      <c r="R148" s="129"/>
      <c r="S148" s="129"/>
      <c r="T148" s="129"/>
      <c r="U148" s="129"/>
      <c r="V148" s="129"/>
      <c r="W148" s="129"/>
      <c r="X148" s="129"/>
      <c r="Y148" s="129"/>
      <c r="Z148" s="129"/>
      <c r="AA148" s="129"/>
      <c r="AB148" s="129"/>
      <c r="AC148" s="129"/>
      <c r="AD148" s="129"/>
      <c r="AE148" s="129"/>
      <c r="AF148" s="129"/>
      <c r="AG148" s="129"/>
      <c r="AH148" s="129"/>
      <c r="AI148" s="129"/>
      <c r="AJ148" s="129"/>
      <c r="AK148" s="129"/>
      <c r="AL148" s="129"/>
      <c r="AM148" s="129"/>
      <c r="AN148" s="129"/>
      <c r="AO148" s="129"/>
      <c r="AP148" s="129"/>
      <c r="AQ148" s="129"/>
      <c r="AR148" s="129"/>
      <c r="AS148" s="129"/>
      <c r="AT148" s="129"/>
      <c r="AU148" s="129"/>
      <c r="AV148" s="129"/>
      <c r="AW148" s="129"/>
      <c r="AX148" s="129"/>
      <c r="AY148" s="129"/>
      <c r="AZ148" s="129"/>
      <c r="BA148" s="129"/>
      <c r="BB148" s="129"/>
      <c r="BC148" s="129"/>
      <c r="BD148" s="129"/>
      <c r="BE148" s="129"/>
      <c r="BF148" s="129"/>
      <c r="BG148" s="129"/>
      <c r="BH148" s="129"/>
      <c r="BI148" s="129"/>
      <c r="BJ148" s="129"/>
      <c r="BK148" s="129"/>
      <c r="BL148" s="129"/>
      <c r="BM148" s="129"/>
      <c r="BN148" s="129"/>
      <c r="BO148" s="129"/>
      <c r="BP148" s="129"/>
      <c r="BQ148" s="129"/>
      <c r="BR148" s="129"/>
      <c r="BS148" s="129"/>
      <c r="BT148" s="129"/>
      <c r="BU148" s="129"/>
      <c r="BV148" s="129"/>
      <c r="BW148" s="129"/>
      <c r="BX148" s="129"/>
      <c r="BY148" s="129"/>
      <c r="BZ148" s="129"/>
      <c r="CA148" s="129"/>
      <c r="CB148" s="129"/>
      <c r="CC148" s="129"/>
      <c r="CD148" s="129"/>
      <c r="CE148" s="129"/>
      <c r="CF148" s="129"/>
      <c r="CG148" s="129"/>
      <c r="CH148" s="129"/>
      <c r="CI148" s="129"/>
      <c r="CJ148" s="129"/>
      <c r="CK148" s="129"/>
      <c r="CL148" s="129"/>
      <c r="CM148" s="129"/>
      <c r="CN148" s="129"/>
      <c r="CO148" s="129"/>
      <c r="CP148" s="129"/>
      <c r="CQ148" s="129"/>
      <c r="CR148" s="129"/>
      <c r="CS148" s="129"/>
      <c r="CT148" s="129"/>
    </row>
    <row r="149" spans="2:98" s="120" customFormat="1">
      <c r="B149" s="2"/>
      <c r="C149" s="3"/>
      <c r="D149" s="2"/>
      <c r="E149" s="2"/>
      <c r="F149" s="3"/>
      <c r="G149" s="2"/>
      <c r="H149" s="129"/>
      <c r="I149" s="129"/>
      <c r="J149" s="129"/>
      <c r="K149" s="129"/>
      <c r="L149" s="129"/>
      <c r="M149" s="129"/>
      <c r="N149" s="129"/>
      <c r="O149" s="129"/>
      <c r="P149" s="129"/>
      <c r="Q149" s="129"/>
      <c r="R149" s="129"/>
      <c r="S149" s="129"/>
      <c r="T149" s="129"/>
      <c r="U149" s="129"/>
      <c r="V149" s="129"/>
      <c r="W149" s="129"/>
      <c r="X149" s="129"/>
      <c r="Y149" s="129"/>
      <c r="Z149" s="129"/>
      <c r="AA149" s="129"/>
      <c r="AB149" s="129"/>
      <c r="AC149" s="129"/>
      <c r="AD149" s="129"/>
      <c r="AE149" s="129"/>
      <c r="AF149" s="129"/>
      <c r="AG149" s="129"/>
      <c r="AH149" s="129"/>
      <c r="AI149" s="129"/>
      <c r="AJ149" s="129"/>
      <c r="AK149" s="129"/>
      <c r="AL149" s="129"/>
      <c r="AM149" s="129"/>
      <c r="AN149" s="129"/>
      <c r="AO149" s="129"/>
      <c r="AP149" s="129"/>
      <c r="AQ149" s="129"/>
      <c r="AR149" s="129"/>
      <c r="AS149" s="129"/>
      <c r="AT149" s="129"/>
      <c r="AU149" s="129"/>
      <c r="AV149" s="129"/>
      <c r="AW149" s="129"/>
      <c r="AX149" s="129"/>
      <c r="AY149" s="129"/>
      <c r="AZ149" s="129"/>
      <c r="BA149" s="129"/>
      <c r="BB149" s="129"/>
      <c r="BC149" s="129"/>
      <c r="BD149" s="129"/>
      <c r="BE149" s="129"/>
      <c r="BF149" s="129"/>
      <c r="BG149" s="129"/>
      <c r="BH149" s="129"/>
      <c r="BI149" s="129"/>
      <c r="BJ149" s="129"/>
      <c r="BK149" s="129"/>
      <c r="BL149" s="129"/>
      <c r="BM149" s="129"/>
      <c r="BN149" s="129"/>
      <c r="BO149" s="129"/>
      <c r="BP149" s="129"/>
      <c r="BQ149" s="129"/>
      <c r="BR149" s="129"/>
      <c r="BS149" s="129"/>
      <c r="BT149" s="129"/>
      <c r="BU149" s="129"/>
      <c r="BV149" s="129"/>
      <c r="BW149" s="129"/>
      <c r="BX149" s="129"/>
      <c r="BY149" s="129"/>
      <c r="BZ149" s="129"/>
      <c r="CA149" s="129"/>
      <c r="CB149" s="129"/>
      <c r="CC149" s="129"/>
      <c r="CD149" s="129"/>
      <c r="CE149" s="129"/>
      <c r="CF149" s="129"/>
      <c r="CG149" s="129"/>
      <c r="CH149" s="129"/>
      <c r="CI149" s="129"/>
      <c r="CJ149" s="129"/>
      <c r="CK149" s="129"/>
      <c r="CL149" s="129"/>
      <c r="CM149" s="129"/>
      <c r="CN149" s="129"/>
      <c r="CO149" s="129"/>
      <c r="CP149" s="129"/>
      <c r="CQ149" s="129"/>
      <c r="CR149" s="129"/>
      <c r="CS149" s="129"/>
      <c r="CT149" s="129"/>
    </row>
    <row r="150" spans="2:98" s="120" customFormat="1">
      <c r="B150" s="2"/>
      <c r="C150" s="3"/>
      <c r="D150" s="2"/>
      <c r="E150" s="2"/>
      <c r="F150" s="3"/>
      <c r="G150" s="2"/>
      <c r="H150" s="129"/>
      <c r="I150" s="129"/>
      <c r="J150" s="129"/>
      <c r="K150" s="129"/>
      <c r="L150" s="129"/>
      <c r="M150" s="129"/>
      <c r="N150" s="129"/>
      <c r="O150" s="129"/>
      <c r="P150" s="129"/>
      <c r="Q150" s="129"/>
      <c r="R150" s="129"/>
      <c r="S150" s="129"/>
      <c r="T150" s="129"/>
      <c r="U150" s="129"/>
      <c r="V150" s="129"/>
      <c r="W150" s="129"/>
      <c r="X150" s="129"/>
      <c r="Y150" s="129"/>
      <c r="Z150" s="129"/>
      <c r="AA150" s="129"/>
      <c r="AB150" s="129"/>
      <c r="AC150" s="129"/>
      <c r="AD150" s="129"/>
      <c r="AE150" s="129"/>
      <c r="AF150" s="129"/>
      <c r="AG150" s="129"/>
      <c r="AH150" s="129"/>
      <c r="AI150" s="129"/>
      <c r="AJ150" s="129"/>
      <c r="AK150" s="129"/>
      <c r="AL150" s="129"/>
      <c r="AM150" s="129"/>
      <c r="AN150" s="129"/>
      <c r="AO150" s="129"/>
      <c r="AP150" s="129"/>
      <c r="AQ150" s="129"/>
      <c r="AR150" s="129"/>
      <c r="AS150" s="129"/>
      <c r="AT150" s="129"/>
      <c r="AU150" s="129"/>
      <c r="AV150" s="129"/>
      <c r="AW150" s="129"/>
      <c r="AX150" s="129"/>
      <c r="AY150" s="129"/>
      <c r="AZ150" s="129"/>
      <c r="BA150" s="129"/>
      <c r="BB150" s="129"/>
      <c r="BC150" s="129"/>
      <c r="BD150" s="129"/>
      <c r="BE150" s="129"/>
      <c r="BF150" s="129"/>
      <c r="BG150" s="129"/>
      <c r="BH150" s="129"/>
      <c r="BI150" s="129"/>
      <c r="BJ150" s="129"/>
      <c r="BK150" s="129"/>
      <c r="BL150" s="129"/>
      <c r="BM150" s="129"/>
      <c r="BN150" s="129"/>
      <c r="BO150" s="129"/>
      <c r="BP150" s="129"/>
      <c r="BQ150" s="129"/>
      <c r="BR150" s="129"/>
      <c r="BS150" s="129"/>
      <c r="BT150" s="129"/>
      <c r="BU150" s="129"/>
      <c r="BV150" s="129"/>
      <c r="BW150" s="129"/>
      <c r="BX150" s="129"/>
      <c r="BY150" s="129"/>
      <c r="BZ150" s="129"/>
      <c r="CA150" s="129"/>
      <c r="CB150" s="129"/>
      <c r="CC150" s="129"/>
      <c r="CD150" s="129"/>
      <c r="CE150" s="129"/>
      <c r="CF150" s="129"/>
      <c r="CG150" s="129"/>
      <c r="CH150" s="129"/>
      <c r="CI150" s="129"/>
      <c r="CJ150" s="129"/>
      <c r="CK150" s="129"/>
      <c r="CL150" s="129"/>
      <c r="CM150" s="129"/>
      <c r="CN150" s="129"/>
      <c r="CO150" s="129"/>
      <c r="CP150" s="129"/>
      <c r="CQ150" s="129"/>
      <c r="CR150" s="129"/>
      <c r="CS150" s="129"/>
      <c r="CT150" s="129"/>
    </row>
    <row r="151" spans="2:98" s="120" customFormat="1">
      <c r="B151" s="2"/>
      <c r="C151" s="3"/>
      <c r="D151" s="2"/>
      <c r="E151" s="2"/>
      <c r="F151" s="3"/>
      <c r="G151" s="2"/>
      <c r="H151" s="129"/>
      <c r="I151" s="129"/>
      <c r="J151" s="129"/>
      <c r="K151" s="129"/>
      <c r="L151" s="129"/>
      <c r="M151" s="129"/>
      <c r="N151" s="129"/>
      <c r="O151" s="129"/>
      <c r="P151" s="129"/>
      <c r="Q151" s="129"/>
      <c r="R151" s="129"/>
      <c r="S151" s="129"/>
      <c r="T151" s="129"/>
      <c r="U151" s="129"/>
      <c r="V151" s="129"/>
      <c r="W151" s="129"/>
      <c r="X151" s="129"/>
      <c r="Y151" s="129"/>
      <c r="Z151" s="129"/>
      <c r="AA151" s="129"/>
      <c r="AB151" s="129"/>
      <c r="AC151" s="129"/>
      <c r="AD151" s="129"/>
      <c r="AE151" s="129"/>
      <c r="AF151" s="129"/>
      <c r="AG151" s="129"/>
      <c r="AH151" s="129"/>
      <c r="AI151" s="129"/>
      <c r="AJ151" s="129"/>
      <c r="AK151" s="129"/>
      <c r="AL151" s="129"/>
      <c r="AM151" s="129"/>
      <c r="AN151" s="129"/>
      <c r="AO151" s="129"/>
      <c r="AP151" s="129"/>
      <c r="AQ151" s="129"/>
      <c r="AR151" s="129"/>
      <c r="AS151" s="129"/>
      <c r="AT151" s="129"/>
      <c r="AU151" s="129"/>
      <c r="AV151" s="129"/>
      <c r="AW151" s="129"/>
      <c r="AX151" s="129"/>
      <c r="AY151" s="129"/>
      <c r="AZ151" s="129"/>
      <c r="BA151" s="129"/>
      <c r="BB151" s="129"/>
      <c r="BC151" s="129"/>
      <c r="BD151" s="129"/>
      <c r="BE151" s="129"/>
      <c r="BF151" s="129"/>
      <c r="BG151" s="129"/>
      <c r="BH151" s="129"/>
      <c r="BI151" s="129"/>
      <c r="BJ151" s="129"/>
      <c r="BK151" s="129"/>
      <c r="BL151" s="129"/>
      <c r="BM151" s="129"/>
      <c r="BN151" s="129"/>
      <c r="BO151" s="129"/>
      <c r="BP151" s="129"/>
      <c r="BQ151" s="129"/>
      <c r="BR151" s="129"/>
      <c r="BS151" s="129"/>
      <c r="BT151" s="129"/>
      <c r="BU151" s="129"/>
      <c r="BV151" s="129"/>
      <c r="BW151" s="129"/>
      <c r="BX151" s="129"/>
      <c r="BY151" s="129"/>
      <c r="BZ151" s="129"/>
      <c r="CA151" s="129"/>
      <c r="CB151" s="129"/>
      <c r="CC151" s="129"/>
      <c r="CD151" s="129"/>
      <c r="CE151" s="129"/>
      <c r="CF151" s="129"/>
      <c r="CG151" s="129"/>
      <c r="CH151" s="129"/>
      <c r="CI151" s="129"/>
      <c r="CJ151" s="129"/>
      <c r="CK151" s="129"/>
      <c r="CL151" s="129"/>
      <c r="CM151" s="129"/>
      <c r="CN151" s="129"/>
      <c r="CO151" s="129"/>
      <c r="CP151" s="129"/>
      <c r="CQ151" s="129"/>
      <c r="CR151" s="129"/>
      <c r="CS151" s="129"/>
      <c r="CT151" s="129"/>
    </row>
    <row r="152" spans="2:98" s="120" customFormat="1">
      <c r="B152" s="2"/>
      <c r="C152" s="3"/>
      <c r="D152" s="2"/>
      <c r="E152" s="2"/>
      <c r="F152" s="3"/>
      <c r="G152" s="2"/>
      <c r="H152" s="129"/>
      <c r="I152" s="129"/>
      <c r="J152" s="129"/>
      <c r="K152" s="129"/>
      <c r="L152" s="129"/>
      <c r="M152" s="129"/>
      <c r="N152" s="129"/>
      <c r="O152" s="129"/>
      <c r="P152" s="129"/>
      <c r="Q152" s="129"/>
      <c r="R152" s="129"/>
      <c r="S152" s="129"/>
      <c r="T152" s="129"/>
      <c r="U152" s="129"/>
      <c r="V152" s="129"/>
      <c r="W152" s="129"/>
      <c r="X152" s="129"/>
      <c r="Y152" s="129"/>
      <c r="Z152" s="129"/>
      <c r="AA152" s="129"/>
      <c r="AB152" s="129"/>
      <c r="AC152" s="129"/>
      <c r="AD152" s="129"/>
      <c r="AE152" s="129"/>
      <c r="AF152" s="129"/>
      <c r="AG152" s="129"/>
      <c r="AH152" s="129"/>
      <c r="AI152" s="129"/>
      <c r="AJ152" s="129"/>
      <c r="AK152" s="129"/>
      <c r="AL152" s="129"/>
      <c r="AM152" s="129"/>
      <c r="AN152" s="129"/>
      <c r="AO152" s="129"/>
      <c r="AP152" s="129"/>
      <c r="AQ152" s="129"/>
      <c r="AR152" s="129"/>
      <c r="AS152" s="129"/>
      <c r="AT152" s="129"/>
      <c r="AU152" s="129"/>
      <c r="AV152" s="129"/>
      <c r="AW152" s="129"/>
      <c r="AX152" s="129"/>
      <c r="AY152" s="129"/>
      <c r="AZ152" s="129"/>
      <c r="BA152" s="129"/>
      <c r="BB152" s="129"/>
      <c r="BC152" s="129"/>
      <c r="BD152" s="129"/>
      <c r="BE152" s="129"/>
      <c r="BF152" s="129"/>
      <c r="BG152" s="129"/>
      <c r="BH152" s="129"/>
      <c r="BI152" s="129"/>
      <c r="BJ152" s="129"/>
      <c r="BK152" s="129"/>
      <c r="BL152" s="129"/>
      <c r="BM152" s="129"/>
      <c r="BN152" s="129"/>
      <c r="BO152" s="129"/>
      <c r="BP152" s="129"/>
      <c r="BQ152" s="129"/>
      <c r="BR152" s="129"/>
      <c r="BS152" s="129"/>
      <c r="BT152" s="129"/>
      <c r="BU152" s="129"/>
      <c r="BV152" s="129"/>
      <c r="BW152" s="129"/>
      <c r="BX152" s="129"/>
      <c r="BY152" s="129"/>
      <c r="BZ152" s="129"/>
      <c r="CA152" s="129"/>
      <c r="CB152" s="129"/>
      <c r="CC152" s="129"/>
      <c r="CD152" s="129"/>
      <c r="CE152" s="129"/>
      <c r="CF152" s="129"/>
      <c r="CG152" s="129"/>
      <c r="CH152" s="129"/>
      <c r="CI152" s="129"/>
      <c r="CJ152" s="129"/>
      <c r="CK152" s="129"/>
      <c r="CL152" s="129"/>
      <c r="CM152" s="129"/>
      <c r="CN152" s="129"/>
      <c r="CO152" s="129"/>
      <c r="CP152" s="129"/>
      <c r="CQ152" s="129"/>
      <c r="CR152" s="129"/>
      <c r="CS152" s="129"/>
      <c r="CT152" s="129"/>
    </row>
    <row r="153" spans="2:98" s="120" customFormat="1">
      <c r="B153" s="2"/>
      <c r="C153" s="3"/>
      <c r="D153" s="2"/>
      <c r="E153" s="2"/>
      <c r="F153" s="3"/>
      <c r="G153" s="2"/>
      <c r="H153" s="129"/>
      <c r="I153" s="129"/>
      <c r="J153" s="129"/>
      <c r="K153" s="129"/>
      <c r="L153" s="129"/>
      <c r="M153" s="129"/>
      <c r="N153" s="129"/>
      <c r="O153" s="129"/>
      <c r="P153" s="129"/>
      <c r="Q153" s="129"/>
      <c r="R153" s="129"/>
      <c r="S153" s="129"/>
      <c r="T153" s="129"/>
      <c r="U153" s="129"/>
      <c r="V153" s="129"/>
      <c r="W153" s="129"/>
      <c r="X153" s="129"/>
      <c r="Y153" s="129"/>
      <c r="Z153" s="129"/>
      <c r="AA153" s="129"/>
      <c r="AB153" s="129"/>
      <c r="AC153" s="129"/>
      <c r="AD153" s="129"/>
      <c r="AE153" s="129"/>
      <c r="AF153" s="129"/>
      <c r="AG153" s="129"/>
      <c r="AH153" s="129"/>
      <c r="AI153" s="129"/>
      <c r="AJ153" s="129"/>
      <c r="AK153" s="129"/>
      <c r="AL153" s="129"/>
      <c r="AM153" s="129"/>
      <c r="AN153" s="129"/>
      <c r="AO153" s="129"/>
      <c r="AP153" s="129"/>
      <c r="AQ153" s="129"/>
      <c r="AR153" s="129"/>
      <c r="AS153" s="129"/>
      <c r="AT153" s="129"/>
      <c r="AU153" s="129"/>
      <c r="AV153" s="129"/>
      <c r="AW153" s="129"/>
      <c r="AX153" s="129"/>
      <c r="AY153" s="129"/>
      <c r="AZ153" s="129"/>
      <c r="BA153" s="129"/>
      <c r="BB153" s="129"/>
      <c r="BC153" s="129"/>
      <c r="BD153" s="129"/>
      <c r="BE153" s="129"/>
      <c r="BF153" s="129"/>
      <c r="BG153" s="129"/>
      <c r="BH153" s="129"/>
      <c r="BI153" s="129"/>
      <c r="BJ153" s="129"/>
      <c r="BK153" s="129"/>
      <c r="BL153" s="129"/>
      <c r="BM153" s="129"/>
      <c r="BN153" s="129"/>
      <c r="BO153" s="129"/>
      <c r="BP153" s="129"/>
      <c r="BQ153" s="129"/>
      <c r="BR153" s="129"/>
      <c r="BS153" s="129"/>
      <c r="BT153" s="129"/>
      <c r="BU153" s="129"/>
      <c r="BV153" s="129"/>
      <c r="BW153" s="129"/>
      <c r="BX153" s="129"/>
      <c r="BY153" s="129"/>
      <c r="BZ153" s="129"/>
      <c r="CA153" s="129"/>
      <c r="CB153" s="129"/>
      <c r="CC153" s="129"/>
      <c r="CD153" s="129"/>
      <c r="CE153" s="129"/>
      <c r="CF153" s="129"/>
      <c r="CG153" s="129"/>
      <c r="CH153" s="129"/>
      <c r="CI153" s="129"/>
      <c r="CJ153" s="129"/>
      <c r="CK153" s="129"/>
      <c r="CL153" s="129"/>
      <c r="CM153" s="129"/>
      <c r="CN153" s="129"/>
      <c r="CO153" s="129"/>
      <c r="CP153" s="129"/>
      <c r="CQ153" s="129"/>
      <c r="CR153" s="129"/>
      <c r="CS153" s="129"/>
      <c r="CT153" s="129"/>
    </row>
    <row r="154" spans="2:98" s="120" customFormat="1">
      <c r="B154" s="2"/>
      <c r="C154" s="3"/>
      <c r="D154" s="2"/>
      <c r="E154" s="2"/>
      <c r="F154" s="3"/>
      <c r="G154" s="2"/>
      <c r="H154" s="129"/>
      <c r="I154" s="129"/>
      <c r="J154" s="129"/>
      <c r="K154" s="129"/>
      <c r="L154" s="129"/>
      <c r="M154" s="129"/>
      <c r="N154" s="129"/>
      <c r="O154" s="129"/>
      <c r="P154" s="129"/>
      <c r="Q154" s="129"/>
      <c r="R154" s="129"/>
      <c r="S154" s="129"/>
      <c r="T154" s="129"/>
      <c r="U154" s="129"/>
      <c r="V154" s="129"/>
      <c r="W154" s="129"/>
      <c r="X154" s="129"/>
      <c r="Y154" s="129"/>
      <c r="Z154" s="129"/>
      <c r="AA154" s="129"/>
      <c r="AB154" s="129"/>
      <c r="AC154" s="129"/>
      <c r="AD154" s="129"/>
      <c r="AE154" s="129"/>
      <c r="AF154" s="129"/>
      <c r="AG154" s="129"/>
      <c r="AH154" s="129"/>
      <c r="AI154" s="129"/>
      <c r="AJ154" s="129"/>
      <c r="AK154" s="129"/>
      <c r="AL154" s="129"/>
      <c r="AM154" s="129"/>
      <c r="AN154" s="129"/>
      <c r="AO154" s="129"/>
      <c r="AP154" s="129"/>
      <c r="AQ154" s="129"/>
      <c r="AR154" s="129"/>
      <c r="AS154" s="129"/>
      <c r="AT154" s="129"/>
      <c r="AU154" s="129"/>
      <c r="AV154" s="129"/>
      <c r="AW154" s="129"/>
      <c r="AX154" s="129"/>
      <c r="AY154" s="129"/>
      <c r="AZ154" s="129"/>
      <c r="BA154" s="129"/>
      <c r="BB154" s="129"/>
      <c r="BC154" s="129"/>
      <c r="BD154" s="129"/>
      <c r="BE154" s="129"/>
      <c r="BF154" s="129"/>
      <c r="BG154" s="129"/>
      <c r="BH154" s="129"/>
      <c r="BI154" s="129"/>
      <c r="BJ154" s="129"/>
      <c r="BK154" s="129"/>
      <c r="BL154" s="129"/>
      <c r="BM154" s="129"/>
      <c r="BN154" s="129"/>
      <c r="BO154" s="129"/>
      <c r="BP154" s="129"/>
      <c r="BQ154" s="129"/>
      <c r="BR154" s="129"/>
      <c r="BS154" s="129"/>
      <c r="BT154" s="129"/>
      <c r="BU154" s="129"/>
      <c r="BV154" s="129"/>
      <c r="BW154" s="129"/>
      <c r="BX154" s="129"/>
      <c r="BY154" s="129"/>
      <c r="BZ154" s="129"/>
      <c r="CA154" s="129"/>
      <c r="CB154" s="129"/>
      <c r="CC154" s="129"/>
      <c r="CD154" s="129"/>
      <c r="CE154" s="129"/>
      <c r="CF154" s="129"/>
      <c r="CG154" s="129"/>
      <c r="CH154" s="129"/>
      <c r="CI154" s="129"/>
      <c r="CJ154" s="129"/>
      <c r="CK154" s="129"/>
      <c r="CL154" s="129"/>
      <c r="CM154" s="129"/>
      <c r="CN154" s="129"/>
      <c r="CO154" s="129"/>
      <c r="CP154" s="129"/>
      <c r="CQ154" s="129"/>
      <c r="CR154" s="129"/>
      <c r="CS154" s="129"/>
      <c r="CT154" s="129"/>
    </row>
    <row r="155" spans="2:98" s="120" customFormat="1">
      <c r="B155" s="2"/>
      <c r="C155" s="3"/>
      <c r="D155" s="2"/>
      <c r="E155" s="2"/>
      <c r="F155" s="3"/>
      <c r="G155" s="2"/>
      <c r="H155" s="129"/>
      <c r="I155" s="129"/>
      <c r="J155" s="129"/>
      <c r="K155" s="129"/>
      <c r="L155" s="129"/>
      <c r="M155" s="129"/>
      <c r="N155" s="129"/>
      <c r="O155" s="129"/>
      <c r="P155" s="129"/>
      <c r="Q155" s="129"/>
      <c r="R155" s="129"/>
      <c r="S155" s="129"/>
      <c r="T155" s="129"/>
      <c r="U155" s="129"/>
      <c r="V155" s="129"/>
      <c r="W155" s="129"/>
      <c r="X155" s="129"/>
      <c r="Y155" s="129"/>
      <c r="Z155" s="129"/>
      <c r="AA155" s="129"/>
      <c r="AB155" s="129"/>
      <c r="AC155" s="129"/>
      <c r="AD155" s="129"/>
      <c r="AE155" s="129"/>
      <c r="AF155" s="129"/>
      <c r="AG155" s="129"/>
      <c r="AH155" s="129"/>
      <c r="AI155" s="129"/>
      <c r="AJ155" s="129"/>
      <c r="AK155" s="129"/>
      <c r="AL155" s="129"/>
      <c r="AM155" s="129"/>
      <c r="AN155" s="129"/>
      <c r="AO155" s="129"/>
      <c r="AP155" s="129"/>
      <c r="AQ155" s="129"/>
      <c r="AR155" s="129"/>
      <c r="AS155" s="129"/>
      <c r="AT155" s="129"/>
      <c r="AU155" s="129"/>
      <c r="AV155" s="129"/>
      <c r="AW155" s="129"/>
      <c r="AX155" s="129"/>
      <c r="AY155" s="129"/>
      <c r="AZ155" s="129"/>
      <c r="BA155" s="129"/>
      <c r="BB155" s="129"/>
      <c r="BC155" s="129"/>
      <c r="BD155" s="129"/>
      <c r="BE155" s="129"/>
      <c r="BF155" s="129"/>
      <c r="BG155" s="129"/>
      <c r="BH155" s="129"/>
      <c r="BI155" s="129"/>
      <c r="BJ155" s="129"/>
      <c r="BK155" s="129"/>
      <c r="BL155" s="129"/>
      <c r="BM155" s="129"/>
      <c r="BN155" s="129"/>
      <c r="BO155" s="129"/>
      <c r="BP155" s="129"/>
      <c r="BQ155" s="129"/>
      <c r="BR155" s="129"/>
      <c r="BS155" s="129"/>
      <c r="BT155" s="129"/>
      <c r="BU155" s="129"/>
      <c r="BV155" s="129"/>
      <c r="BW155" s="129"/>
      <c r="BX155" s="129"/>
      <c r="BY155" s="129"/>
      <c r="BZ155" s="129"/>
      <c r="CA155" s="129"/>
      <c r="CB155" s="129"/>
      <c r="CC155" s="129"/>
      <c r="CD155" s="129"/>
      <c r="CE155" s="129"/>
      <c r="CF155" s="129"/>
      <c r="CG155" s="129"/>
      <c r="CH155" s="129"/>
      <c r="CI155" s="129"/>
      <c r="CJ155" s="129"/>
      <c r="CK155" s="129"/>
      <c r="CL155" s="129"/>
      <c r="CM155" s="129"/>
      <c r="CN155" s="129"/>
      <c r="CO155" s="129"/>
      <c r="CP155" s="129"/>
      <c r="CQ155" s="129"/>
      <c r="CR155" s="129"/>
      <c r="CS155" s="129"/>
      <c r="CT155" s="129"/>
    </row>
    <row r="156" spans="2:98" s="120" customFormat="1">
      <c r="B156" s="2"/>
      <c r="C156" s="3"/>
      <c r="D156" s="2"/>
      <c r="E156" s="2"/>
      <c r="F156" s="3"/>
      <c r="G156" s="2"/>
      <c r="H156" s="129"/>
      <c r="I156" s="129"/>
      <c r="J156" s="129"/>
      <c r="K156" s="129"/>
      <c r="L156" s="129"/>
      <c r="M156" s="129"/>
      <c r="N156" s="129"/>
      <c r="O156" s="129"/>
      <c r="P156" s="129"/>
      <c r="Q156" s="129"/>
      <c r="R156" s="129"/>
      <c r="S156" s="129"/>
      <c r="T156" s="129"/>
      <c r="U156" s="129"/>
      <c r="V156" s="129"/>
      <c r="W156" s="129"/>
      <c r="X156" s="129"/>
      <c r="Y156" s="129"/>
      <c r="Z156" s="129"/>
      <c r="AA156" s="129"/>
      <c r="AB156" s="129"/>
      <c r="AC156" s="129"/>
      <c r="AD156" s="129"/>
      <c r="AE156" s="129"/>
      <c r="AF156" s="129"/>
      <c r="AG156" s="129"/>
      <c r="AH156" s="129"/>
      <c r="AI156" s="129"/>
      <c r="AJ156" s="129"/>
      <c r="AK156" s="129"/>
      <c r="AL156" s="129"/>
      <c r="AM156" s="129"/>
      <c r="AN156" s="129"/>
      <c r="AO156" s="129"/>
      <c r="AP156" s="129"/>
      <c r="AQ156" s="129"/>
      <c r="AR156" s="129"/>
      <c r="AS156" s="129"/>
      <c r="AT156" s="129"/>
      <c r="AU156" s="129"/>
      <c r="AV156" s="129"/>
      <c r="AW156" s="129"/>
      <c r="AX156" s="129"/>
      <c r="AY156" s="129"/>
      <c r="AZ156" s="129"/>
      <c r="BA156" s="129"/>
      <c r="BB156" s="129"/>
      <c r="BC156" s="129"/>
      <c r="BD156" s="129"/>
      <c r="BE156" s="129"/>
      <c r="BF156" s="129"/>
      <c r="BG156" s="129"/>
      <c r="BH156" s="129"/>
      <c r="BI156" s="129"/>
      <c r="BJ156" s="129"/>
      <c r="BK156" s="129"/>
      <c r="BL156" s="129"/>
      <c r="BM156" s="129"/>
      <c r="BN156" s="129"/>
      <c r="BO156" s="129"/>
      <c r="BP156" s="129"/>
      <c r="BQ156" s="129"/>
      <c r="BR156" s="129"/>
      <c r="BS156" s="129"/>
      <c r="BT156" s="129"/>
      <c r="BU156" s="129"/>
      <c r="BV156" s="129"/>
      <c r="BW156" s="129"/>
      <c r="BX156" s="129"/>
      <c r="BY156" s="129"/>
      <c r="BZ156" s="129"/>
      <c r="CA156" s="129"/>
      <c r="CB156" s="129"/>
      <c r="CC156" s="129"/>
      <c r="CD156" s="129"/>
      <c r="CE156" s="129"/>
      <c r="CF156" s="129"/>
      <c r="CG156" s="129"/>
      <c r="CH156" s="129"/>
      <c r="CI156" s="129"/>
      <c r="CJ156" s="129"/>
      <c r="CK156" s="129"/>
      <c r="CL156" s="129"/>
      <c r="CM156" s="129"/>
      <c r="CN156" s="129"/>
      <c r="CO156" s="129"/>
      <c r="CP156" s="129"/>
      <c r="CQ156" s="129"/>
      <c r="CR156" s="129"/>
      <c r="CS156" s="129"/>
      <c r="CT156" s="129"/>
    </row>
    <row r="157" spans="2:98" s="120" customFormat="1">
      <c r="B157" s="2"/>
      <c r="C157" s="3"/>
      <c r="D157" s="2"/>
      <c r="E157" s="2"/>
      <c r="F157" s="3"/>
      <c r="G157" s="2"/>
      <c r="H157" s="129"/>
      <c r="I157" s="129"/>
      <c r="J157" s="129"/>
      <c r="K157" s="129"/>
      <c r="L157" s="129"/>
      <c r="M157" s="129"/>
      <c r="N157" s="129"/>
      <c r="O157" s="129"/>
      <c r="P157" s="129"/>
      <c r="Q157" s="129"/>
      <c r="R157" s="129"/>
      <c r="S157" s="129"/>
      <c r="T157" s="129"/>
      <c r="U157" s="129"/>
      <c r="V157" s="129"/>
      <c r="W157" s="129"/>
      <c r="X157" s="129"/>
      <c r="Y157" s="129"/>
      <c r="Z157" s="129"/>
      <c r="AA157" s="129"/>
      <c r="AB157" s="129"/>
      <c r="AC157" s="129"/>
      <c r="AD157" s="129"/>
      <c r="AE157" s="129"/>
      <c r="AF157" s="129"/>
      <c r="AG157" s="129"/>
      <c r="AH157" s="129"/>
      <c r="AI157" s="129"/>
      <c r="AJ157" s="129"/>
      <c r="AK157" s="129"/>
      <c r="AL157" s="129"/>
      <c r="AM157" s="129"/>
      <c r="AN157" s="129"/>
      <c r="AO157" s="129"/>
      <c r="AP157" s="129"/>
      <c r="AQ157" s="129"/>
      <c r="AR157" s="129"/>
      <c r="AS157" s="129"/>
      <c r="AT157" s="129"/>
      <c r="AU157" s="129"/>
      <c r="AV157" s="129"/>
      <c r="AW157" s="129"/>
      <c r="AX157" s="129"/>
      <c r="AY157" s="129"/>
      <c r="AZ157" s="129"/>
      <c r="BA157" s="129"/>
      <c r="BB157" s="129"/>
      <c r="BC157" s="129"/>
      <c r="BD157" s="129"/>
      <c r="BE157" s="129"/>
      <c r="BF157" s="129"/>
      <c r="BG157" s="129"/>
      <c r="BH157" s="129"/>
      <c r="BI157" s="129"/>
      <c r="BJ157" s="129"/>
      <c r="BK157" s="129"/>
      <c r="BL157" s="129"/>
      <c r="BM157" s="129"/>
      <c r="BN157" s="129"/>
      <c r="BO157" s="129"/>
      <c r="BP157" s="129"/>
      <c r="BQ157" s="129"/>
      <c r="BR157" s="129"/>
      <c r="BS157" s="129"/>
      <c r="BT157" s="129"/>
      <c r="BU157" s="129"/>
      <c r="BV157" s="129"/>
      <c r="BW157" s="129"/>
      <c r="BX157" s="129"/>
      <c r="BY157" s="129"/>
      <c r="BZ157" s="129"/>
      <c r="CA157" s="129"/>
      <c r="CB157" s="129"/>
      <c r="CC157" s="129"/>
      <c r="CD157" s="129"/>
      <c r="CE157" s="129"/>
      <c r="CF157" s="129"/>
      <c r="CG157" s="129"/>
      <c r="CH157" s="129"/>
      <c r="CI157" s="129"/>
      <c r="CJ157" s="129"/>
      <c r="CK157" s="129"/>
      <c r="CL157" s="129"/>
      <c r="CM157" s="129"/>
      <c r="CN157" s="129"/>
      <c r="CO157" s="129"/>
      <c r="CP157" s="129"/>
      <c r="CQ157" s="129"/>
      <c r="CR157" s="129"/>
      <c r="CS157" s="129"/>
      <c r="CT157" s="129"/>
    </row>
    <row r="158" spans="2:98" s="120" customFormat="1">
      <c r="B158" s="2"/>
      <c r="C158" s="3"/>
      <c r="D158" s="2"/>
      <c r="E158" s="2"/>
      <c r="F158" s="3"/>
      <c r="G158" s="2"/>
      <c r="H158" s="129"/>
      <c r="I158" s="129"/>
      <c r="J158" s="129"/>
      <c r="K158" s="129"/>
      <c r="L158" s="129"/>
      <c r="M158" s="129"/>
      <c r="N158" s="129"/>
      <c r="O158" s="129"/>
      <c r="P158" s="129"/>
      <c r="Q158" s="129"/>
      <c r="R158" s="129"/>
      <c r="S158" s="129"/>
      <c r="T158" s="129"/>
      <c r="U158" s="129"/>
      <c r="V158" s="129"/>
      <c r="W158" s="129"/>
      <c r="X158" s="129"/>
      <c r="Y158" s="129"/>
      <c r="Z158" s="129"/>
      <c r="AA158" s="129"/>
      <c r="AB158" s="129"/>
      <c r="AC158" s="129"/>
      <c r="AD158" s="129"/>
      <c r="AE158" s="129"/>
      <c r="AF158" s="129"/>
      <c r="AG158" s="129"/>
      <c r="AH158" s="129"/>
      <c r="AI158" s="129"/>
      <c r="AJ158" s="129"/>
      <c r="AK158" s="129"/>
      <c r="AL158" s="129"/>
      <c r="AM158" s="129"/>
      <c r="AN158" s="129"/>
      <c r="AO158" s="129"/>
      <c r="AP158" s="129"/>
      <c r="AQ158" s="129"/>
      <c r="AR158" s="129"/>
      <c r="AS158" s="129"/>
      <c r="AT158" s="129"/>
      <c r="AU158" s="129"/>
      <c r="AV158" s="129"/>
      <c r="AW158" s="129"/>
      <c r="AX158" s="129"/>
      <c r="AY158" s="129"/>
      <c r="AZ158" s="129"/>
      <c r="BA158" s="129"/>
      <c r="BB158" s="129"/>
      <c r="BC158" s="129"/>
      <c r="BD158" s="129"/>
      <c r="BE158" s="129"/>
      <c r="BF158" s="129"/>
      <c r="BG158" s="129"/>
      <c r="BH158" s="129"/>
      <c r="BI158" s="129"/>
      <c r="BJ158" s="129"/>
      <c r="BK158" s="129"/>
      <c r="BL158" s="129"/>
      <c r="BM158" s="129"/>
      <c r="BN158" s="129"/>
      <c r="BO158" s="129"/>
      <c r="BP158" s="129"/>
      <c r="BQ158" s="129"/>
      <c r="BR158" s="129"/>
      <c r="BS158" s="129"/>
      <c r="BT158" s="129"/>
      <c r="BU158" s="129"/>
      <c r="BV158" s="129"/>
      <c r="BW158" s="129"/>
      <c r="BX158" s="129"/>
      <c r="BY158" s="129"/>
      <c r="BZ158" s="129"/>
      <c r="CA158" s="129"/>
      <c r="CB158" s="129"/>
      <c r="CC158" s="129"/>
      <c r="CD158" s="129"/>
      <c r="CE158" s="129"/>
      <c r="CF158" s="129"/>
      <c r="CG158" s="129"/>
      <c r="CH158" s="129"/>
      <c r="CI158" s="129"/>
      <c r="CJ158" s="129"/>
      <c r="CK158" s="129"/>
      <c r="CL158" s="129"/>
      <c r="CM158" s="129"/>
      <c r="CN158" s="129"/>
      <c r="CO158" s="129"/>
      <c r="CP158" s="129"/>
      <c r="CQ158" s="129"/>
      <c r="CR158" s="129"/>
      <c r="CS158" s="129"/>
      <c r="CT158" s="129"/>
    </row>
    <row r="159" spans="2:98" s="120" customFormat="1">
      <c r="B159" s="2"/>
      <c r="C159" s="3"/>
      <c r="D159" s="2"/>
      <c r="E159" s="2"/>
      <c r="F159" s="3"/>
      <c r="G159" s="2"/>
      <c r="H159" s="129"/>
      <c r="I159" s="129"/>
      <c r="J159" s="129"/>
      <c r="K159" s="129"/>
      <c r="L159" s="129"/>
      <c r="M159" s="129"/>
      <c r="N159" s="129"/>
      <c r="O159" s="129"/>
      <c r="P159" s="129"/>
      <c r="Q159" s="129"/>
      <c r="R159" s="129"/>
      <c r="S159" s="129"/>
      <c r="T159" s="129"/>
      <c r="U159" s="129"/>
      <c r="V159" s="129"/>
      <c r="W159" s="129"/>
      <c r="X159" s="129"/>
      <c r="Y159" s="129"/>
      <c r="Z159" s="129"/>
      <c r="AA159" s="129"/>
      <c r="AB159" s="129"/>
      <c r="AC159" s="129"/>
      <c r="AD159" s="129"/>
      <c r="AE159" s="129"/>
      <c r="AF159" s="129"/>
      <c r="AG159" s="129"/>
      <c r="AH159" s="129"/>
      <c r="AI159" s="129"/>
      <c r="AJ159" s="129"/>
      <c r="AK159" s="129"/>
      <c r="AL159" s="129"/>
      <c r="AM159" s="129"/>
      <c r="AN159" s="129"/>
      <c r="AO159" s="129"/>
      <c r="AP159" s="129"/>
      <c r="AQ159" s="129"/>
      <c r="AR159" s="129"/>
      <c r="AS159" s="129"/>
      <c r="AT159" s="129"/>
      <c r="AU159" s="129"/>
      <c r="AV159" s="129"/>
      <c r="AW159" s="129"/>
      <c r="AX159" s="129"/>
      <c r="AY159" s="129"/>
      <c r="AZ159" s="129"/>
      <c r="BA159" s="129"/>
      <c r="BB159" s="129"/>
      <c r="BC159" s="129"/>
      <c r="BD159" s="129"/>
      <c r="BE159" s="129"/>
      <c r="BF159" s="129"/>
      <c r="BG159" s="129"/>
      <c r="BH159" s="129"/>
      <c r="BI159" s="129"/>
      <c r="BJ159" s="129"/>
      <c r="BK159" s="129"/>
      <c r="BL159" s="129"/>
      <c r="BM159" s="129"/>
      <c r="BN159" s="129"/>
      <c r="BO159" s="129"/>
      <c r="BP159" s="129"/>
      <c r="BQ159" s="129"/>
      <c r="BR159" s="129"/>
      <c r="BS159" s="129"/>
      <c r="BT159" s="129"/>
      <c r="BU159" s="129"/>
      <c r="BV159" s="129"/>
      <c r="BW159" s="129"/>
      <c r="BX159" s="129"/>
      <c r="BY159" s="129"/>
      <c r="BZ159" s="129"/>
      <c r="CA159" s="129"/>
      <c r="CB159" s="129"/>
      <c r="CC159" s="129"/>
      <c r="CD159" s="129"/>
      <c r="CE159" s="129"/>
      <c r="CF159" s="129"/>
      <c r="CG159" s="129"/>
      <c r="CH159" s="129"/>
      <c r="CI159" s="129"/>
      <c r="CJ159" s="129"/>
      <c r="CK159" s="129"/>
      <c r="CL159" s="129"/>
      <c r="CM159" s="129"/>
      <c r="CN159" s="129"/>
      <c r="CO159" s="129"/>
      <c r="CP159" s="129"/>
      <c r="CQ159" s="129"/>
      <c r="CR159" s="129"/>
      <c r="CS159" s="129"/>
      <c r="CT159" s="129"/>
    </row>
    <row r="160" spans="2:98" s="120" customFormat="1">
      <c r="B160" s="2"/>
      <c r="C160" s="3"/>
      <c r="D160" s="2"/>
      <c r="E160" s="2"/>
      <c r="F160" s="3"/>
      <c r="G160" s="2"/>
      <c r="H160" s="129"/>
      <c r="I160" s="129"/>
      <c r="J160" s="129"/>
      <c r="K160" s="129"/>
      <c r="L160" s="129"/>
      <c r="M160" s="129"/>
      <c r="N160" s="129"/>
      <c r="O160" s="129"/>
      <c r="P160" s="129"/>
      <c r="Q160" s="129"/>
      <c r="R160" s="129"/>
      <c r="S160" s="129"/>
      <c r="T160" s="129"/>
      <c r="U160" s="129"/>
      <c r="V160" s="129"/>
      <c r="W160" s="129"/>
      <c r="X160" s="129"/>
      <c r="Y160" s="129"/>
      <c r="Z160" s="129"/>
      <c r="AA160" s="129"/>
      <c r="AB160" s="129"/>
      <c r="AC160" s="129"/>
      <c r="AD160" s="129"/>
      <c r="AE160" s="129"/>
      <c r="AF160" s="129"/>
      <c r="AG160" s="129"/>
      <c r="AH160" s="129"/>
      <c r="AI160" s="129"/>
      <c r="AJ160" s="129"/>
      <c r="AK160" s="129"/>
      <c r="AL160" s="129"/>
      <c r="AM160" s="129"/>
      <c r="AN160" s="129"/>
      <c r="AO160" s="129"/>
      <c r="AP160" s="129"/>
      <c r="AQ160" s="129"/>
      <c r="AR160" s="129"/>
      <c r="AS160" s="129"/>
      <c r="AT160" s="129"/>
      <c r="AU160" s="129"/>
      <c r="AV160" s="129"/>
      <c r="AW160" s="129"/>
      <c r="AX160" s="129"/>
      <c r="AY160" s="129"/>
      <c r="AZ160" s="129"/>
      <c r="BA160" s="129"/>
      <c r="BB160" s="129"/>
      <c r="BC160" s="129"/>
      <c r="BD160" s="129"/>
      <c r="BE160" s="129"/>
      <c r="BF160" s="129"/>
      <c r="BG160" s="129"/>
      <c r="BH160" s="129"/>
      <c r="BI160" s="129"/>
      <c r="BJ160" s="129"/>
      <c r="BK160" s="129"/>
      <c r="BL160" s="129"/>
      <c r="BM160" s="129"/>
      <c r="BN160" s="129"/>
      <c r="BO160" s="129"/>
      <c r="BP160" s="129"/>
      <c r="BQ160" s="129"/>
      <c r="BR160" s="129"/>
      <c r="BS160" s="129"/>
      <c r="BT160" s="129"/>
      <c r="BU160" s="129"/>
      <c r="BV160" s="129"/>
      <c r="BW160" s="129"/>
      <c r="BX160" s="129"/>
      <c r="BY160" s="129"/>
      <c r="BZ160" s="129"/>
      <c r="CA160" s="129"/>
      <c r="CB160" s="129"/>
      <c r="CC160" s="129"/>
      <c r="CD160" s="129"/>
      <c r="CE160" s="129"/>
      <c r="CF160" s="129"/>
      <c r="CG160" s="129"/>
      <c r="CH160" s="129"/>
      <c r="CI160" s="129"/>
      <c r="CJ160" s="129"/>
      <c r="CK160" s="129"/>
      <c r="CL160" s="129"/>
      <c r="CM160" s="129"/>
      <c r="CN160" s="129"/>
      <c r="CO160" s="129"/>
      <c r="CP160" s="129"/>
      <c r="CQ160" s="129"/>
      <c r="CR160" s="129"/>
      <c r="CS160" s="129"/>
      <c r="CT160" s="129"/>
    </row>
    <row r="161" spans="2:98" s="120" customFormat="1">
      <c r="B161" s="2"/>
      <c r="C161" s="3"/>
      <c r="D161" s="2"/>
      <c r="E161" s="2"/>
      <c r="F161" s="3"/>
      <c r="G161" s="2"/>
      <c r="H161" s="129"/>
      <c r="I161" s="129"/>
      <c r="J161" s="129"/>
      <c r="K161" s="129"/>
      <c r="L161" s="129"/>
      <c r="M161" s="129"/>
      <c r="N161" s="129"/>
      <c r="O161" s="129"/>
      <c r="P161" s="129"/>
      <c r="Q161" s="129"/>
      <c r="R161" s="129"/>
      <c r="S161" s="129"/>
      <c r="T161" s="129"/>
      <c r="U161" s="129"/>
      <c r="V161" s="129"/>
      <c r="W161" s="129"/>
      <c r="X161" s="129"/>
      <c r="Y161" s="129"/>
      <c r="Z161" s="129"/>
      <c r="AA161" s="129"/>
      <c r="AB161" s="129"/>
      <c r="AC161" s="129"/>
      <c r="AD161" s="129"/>
      <c r="AE161" s="129"/>
      <c r="AF161" s="129"/>
      <c r="AG161" s="129"/>
      <c r="AH161" s="129"/>
      <c r="AI161" s="129"/>
      <c r="AJ161" s="129"/>
      <c r="AK161" s="129"/>
      <c r="AL161" s="129"/>
      <c r="AM161" s="129"/>
      <c r="AN161" s="129"/>
      <c r="AO161" s="129"/>
      <c r="AP161" s="129"/>
      <c r="AQ161" s="129"/>
      <c r="AR161" s="129"/>
      <c r="AS161" s="129"/>
      <c r="AT161" s="129"/>
      <c r="AU161" s="129"/>
      <c r="AV161" s="129"/>
      <c r="AW161" s="129"/>
      <c r="AX161" s="129"/>
      <c r="AY161" s="129"/>
      <c r="AZ161" s="129"/>
      <c r="BA161" s="129"/>
      <c r="BB161" s="129"/>
      <c r="BC161" s="129"/>
      <c r="BD161" s="129"/>
      <c r="BE161" s="129"/>
      <c r="BF161" s="129"/>
      <c r="BG161" s="129"/>
      <c r="BH161" s="129"/>
      <c r="BI161" s="129"/>
      <c r="BJ161" s="129"/>
      <c r="BK161" s="129"/>
      <c r="BL161" s="129"/>
      <c r="BM161" s="129"/>
      <c r="BN161" s="129"/>
      <c r="BO161" s="129"/>
      <c r="BP161" s="129"/>
      <c r="BQ161" s="129"/>
      <c r="BR161" s="129"/>
      <c r="BS161" s="129"/>
      <c r="BT161" s="129"/>
      <c r="BU161" s="129"/>
      <c r="BV161" s="129"/>
      <c r="BW161" s="129"/>
      <c r="BX161" s="129"/>
      <c r="BY161" s="129"/>
      <c r="BZ161" s="129"/>
      <c r="CA161" s="129"/>
      <c r="CB161" s="129"/>
      <c r="CC161" s="129"/>
      <c r="CD161" s="129"/>
      <c r="CE161" s="129"/>
      <c r="CF161" s="129"/>
      <c r="CG161" s="129"/>
      <c r="CH161" s="129"/>
      <c r="CI161" s="129"/>
      <c r="CJ161" s="129"/>
      <c r="CK161" s="129"/>
      <c r="CL161" s="129"/>
      <c r="CM161" s="129"/>
      <c r="CN161" s="129"/>
      <c r="CO161" s="129"/>
      <c r="CP161" s="129"/>
      <c r="CQ161" s="129"/>
      <c r="CR161" s="129"/>
      <c r="CS161" s="129"/>
      <c r="CT161" s="129"/>
    </row>
  </sheetData>
  <sheetProtection algorithmName="SHA-512" hashValue="pyxddV/66D0Nag1hEAuTZFeVE48xndLJA5jgbH4SC2MR78hd6Llbg5gFPmfzUIgPjL8Hi/+BaHscbP548mtU/A==" saltValue="MKBV/YInDzR+uaS9B1e8tQ==" spinCount="100000" sheet="1" objects="1" scenarios="1"/>
  <mergeCells count="4">
    <mergeCell ref="A8:A9"/>
    <mergeCell ref="B8:B9"/>
    <mergeCell ref="C8:C9"/>
    <mergeCell ref="A7:D7"/>
  </mergeCells>
  <pageMargins left="0.51181102362204722" right="0.51181102362204722" top="0.78740157480314965" bottom="0.78740157480314965" header="0.31496062992125984" footer="0.31496062992125984"/>
  <pageSetup paperSize="9" scale="90" orientation="landscape" horizontalDpi="4294967295" verticalDpi="4294967295" r:id="rId1"/>
  <headerFooter>
    <oddFooter>Página &amp;P de &amp;N</oddFooter>
  </headerFooter>
  <rowBreaks count="2" manualBreakCount="2">
    <brk id="23" max="4" man="1"/>
    <brk id="38" max="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22"/>
  <sheetViews>
    <sheetView workbookViewId="0"/>
  </sheetViews>
  <sheetFormatPr defaultRowHeight="14.4"/>
  <cols>
    <col min="1" max="1" width="4.33203125" bestFit="1" customWidth="1"/>
    <col min="2" max="2" width="52" bestFit="1" customWidth="1"/>
    <col min="3" max="3" width="10.44140625" bestFit="1" customWidth="1"/>
    <col min="4" max="4" width="6.5546875" bestFit="1" customWidth="1"/>
    <col min="5" max="5" width="9" bestFit="1" customWidth="1"/>
  </cols>
  <sheetData>
    <row r="6" spans="1:10" ht="39.6">
      <c r="A6" s="191" t="s">
        <v>49</v>
      </c>
      <c r="B6" s="191" t="s">
        <v>50</v>
      </c>
      <c r="C6" s="192" t="s">
        <v>51</v>
      </c>
      <c r="D6" s="192" t="s">
        <v>52</v>
      </c>
      <c r="E6" s="192" t="s">
        <v>2</v>
      </c>
      <c r="F6" s="152"/>
      <c r="H6" s="202" t="s">
        <v>42</v>
      </c>
      <c r="I6" s="202" t="s">
        <v>43</v>
      </c>
      <c r="J6" s="202" t="s">
        <v>44</v>
      </c>
    </row>
    <row r="7" spans="1:10">
      <c r="A7" s="193">
        <v>1</v>
      </c>
      <c r="B7" s="194" t="s">
        <v>53</v>
      </c>
      <c r="C7" s="406">
        <v>1</v>
      </c>
      <c r="D7" s="406"/>
      <c r="E7" s="195">
        <v>1</v>
      </c>
      <c r="F7" s="152"/>
      <c r="H7" s="203"/>
      <c r="I7" s="203"/>
      <c r="J7" s="203"/>
    </row>
    <row r="8" spans="1:10">
      <c r="A8" s="407" t="s">
        <v>49</v>
      </c>
      <c r="B8" s="407" t="s">
        <v>50</v>
      </c>
      <c r="C8" s="405" t="s">
        <v>51</v>
      </c>
      <c r="D8" s="405" t="s">
        <v>52</v>
      </c>
      <c r="E8" s="405" t="s">
        <v>2</v>
      </c>
      <c r="F8" s="152"/>
      <c r="H8" s="204">
        <f>I8*J8</f>
        <v>176</v>
      </c>
      <c r="I8" s="203">
        <v>22</v>
      </c>
      <c r="J8" s="204">
        <v>8</v>
      </c>
    </row>
    <row r="9" spans="1:10">
      <c r="A9" s="407"/>
      <c r="B9" s="407"/>
      <c r="C9" s="405"/>
      <c r="D9" s="405"/>
      <c r="E9" s="405"/>
      <c r="F9" s="152"/>
    </row>
    <row r="10" spans="1:10">
      <c r="A10" s="196">
        <v>2</v>
      </c>
      <c r="B10" s="197" t="s">
        <v>54</v>
      </c>
      <c r="C10" s="198">
        <v>1</v>
      </c>
      <c r="D10" s="198"/>
      <c r="E10" s="198">
        <v>1</v>
      </c>
      <c r="F10" s="152"/>
    </row>
    <row r="11" spans="1:10">
      <c r="A11" s="199">
        <v>3</v>
      </c>
      <c r="B11" s="200" t="s">
        <v>55</v>
      </c>
      <c r="C11" s="201">
        <v>3</v>
      </c>
      <c r="D11" s="201"/>
      <c r="E11" s="201">
        <v>3</v>
      </c>
      <c r="F11" s="152"/>
    </row>
    <row r="12" spans="1:10">
      <c r="A12" s="196">
        <v>4</v>
      </c>
      <c r="B12" s="197" t="s">
        <v>56</v>
      </c>
      <c r="C12" s="198">
        <v>1</v>
      </c>
      <c r="D12" s="198"/>
      <c r="E12" s="198">
        <v>1</v>
      </c>
      <c r="F12" s="152"/>
    </row>
    <row r="13" spans="1:10">
      <c r="A13" s="199">
        <v>5</v>
      </c>
      <c r="B13" s="200" t="s">
        <v>57</v>
      </c>
      <c r="C13" s="201"/>
      <c r="D13" s="201">
        <v>1</v>
      </c>
      <c r="E13" s="201">
        <v>1</v>
      </c>
      <c r="F13" s="152"/>
    </row>
    <row r="14" spans="1:10">
      <c r="A14" s="196">
        <v>6</v>
      </c>
      <c r="B14" s="197" t="s">
        <v>58</v>
      </c>
      <c r="C14" s="198">
        <v>2</v>
      </c>
      <c r="D14" s="198"/>
      <c r="E14" s="198">
        <v>2</v>
      </c>
      <c r="F14" s="152"/>
    </row>
    <row r="15" spans="1:10">
      <c r="A15" s="199">
        <v>7</v>
      </c>
      <c r="B15" s="200" t="s">
        <v>59</v>
      </c>
      <c r="C15" s="201">
        <v>2</v>
      </c>
      <c r="D15" s="201"/>
      <c r="E15" s="201">
        <v>2</v>
      </c>
      <c r="F15" s="152"/>
    </row>
    <row r="16" spans="1:10">
      <c r="A16" s="196">
        <v>8</v>
      </c>
      <c r="B16" s="197" t="s">
        <v>60</v>
      </c>
      <c r="C16" s="198">
        <v>1</v>
      </c>
      <c r="D16" s="198"/>
      <c r="E16" s="198">
        <v>1</v>
      </c>
      <c r="F16" s="152"/>
    </row>
    <row r="17" spans="1:6">
      <c r="A17" s="199">
        <v>9</v>
      </c>
      <c r="B17" s="200" t="s">
        <v>61</v>
      </c>
      <c r="C17" s="201">
        <v>1</v>
      </c>
      <c r="D17" s="201"/>
      <c r="E17" s="201">
        <v>1</v>
      </c>
      <c r="F17" s="152"/>
    </row>
    <row r="18" spans="1:6">
      <c r="A18" s="196">
        <v>10</v>
      </c>
      <c r="B18" s="197" t="s">
        <v>62</v>
      </c>
      <c r="C18" s="198">
        <v>1</v>
      </c>
      <c r="D18" s="198"/>
      <c r="E18" s="198">
        <v>1</v>
      </c>
      <c r="F18" s="152"/>
    </row>
    <row r="19" spans="1:6">
      <c r="A19" s="199">
        <v>11</v>
      </c>
      <c r="B19" s="200" t="s">
        <v>63</v>
      </c>
      <c r="C19" s="201">
        <v>1</v>
      </c>
      <c r="D19" s="201"/>
      <c r="E19" s="201">
        <v>1</v>
      </c>
      <c r="F19" s="152"/>
    </row>
    <row r="20" spans="1:6">
      <c r="A20" s="196">
        <v>12</v>
      </c>
      <c r="B20" s="197" t="s">
        <v>64</v>
      </c>
      <c r="C20" s="198">
        <v>6</v>
      </c>
      <c r="D20" s="198"/>
      <c r="E20" s="198">
        <v>6</v>
      </c>
      <c r="F20" s="152"/>
    </row>
    <row r="21" spans="1:6">
      <c r="A21" s="199">
        <v>13</v>
      </c>
      <c r="B21" s="200" t="s">
        <v>65</v>
      </c>
      <c r="C21" s="201">
        <v>2</v>
      </c>
      <c r="D21" s="201"/>
      <c r="E21" s="201">
        <v>2</v>
      </c>
      <c r="F21" s="152"/>
    </row>
    <row r="22" spans="1:6" ht="30.6">
      <c r="A22" s="199" t="s">
        <v>2</v>
      </c>
      <c r="B22" s="200"/>
      <c r="C22" s="201">
        <v>21</v>
      </c>
      <c r="D22" s="201">
        <v>1</v>
      </c>
      <c r="E22" s="198" t="s">
        <v>66</v>
      </c>
      <c r="F22" s="152"/>
    </row>
  </sheetData>
  <sheetProtection algorithmName="SHA-512" hashValue="piZ+BmOZylj7Pa6UPTi/VoTIdATeRyNrOdClkpdHQMakKv6MTa0ad61+5u1ZxLMNsPd3R80ySrHuTRFTXxHAFw==" saltValue="v9hvSoM8dWzOA2hsc8lNUA==" spinCount="100000" sheet="1" objects="1" scenarios="1"/>
  <mergeCells count="6">
    <mergeCell ref="E8:E9"/>
    <mergeCell ref="C7:D7"/>
    <mergeCell ref="A8:A9"/>
    <mergeCell ref="B8:B9"/>
    <mergeCell ref="C8:C9"/>
    <mergeCell ref="D8:D9"/>
  </mergeCells>
  <pageMargins left="0.511811024" right="0.511811024" top="0.78740157499999996" bottom="0.78740157499999996" header="0.31496062000000002" footer="0.31496062000000002"/>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4"/>
  <sheetViews>
    <sheetView showGridLines="0" zoomScale="85" zoomScaleNormal="85" workbookViewId="0">
      <pane xSplit="3" ySplit="11" topLeftCell="D12" activePane="bottomRight" state="frozen"/>
      <selection activeCell="Z23" sqref="Z23"/>
      <selection pane="topRight" activeCell="Z23" sqref="Z23"/>
      <selection pane="bottomLeft" activeCell="Z23" sqref="Z23"/>
      <selection pane="bottomRight" activeCell="D12" sqref="D12"/>
    </sheetView>
  </sheetViews>
  <sheetFormatPr defaultRowHeight="14.4"/>
  <cols>
    <col min="1" max="1" width="49.88671875" bestFit="1" customWidth="1"/>
    <col min="2" max="2" width="20.109375" customWidth="1"/>
    <col min="3" max="3" width="41.109375" customWidth="1"/>
    <col min="4" max="4" width="6.33203125" bestFit="1" customWidth="1"/>
    <col min="5" max="5" width="10.109375" customWidth="1"/>
    <col min="6" max="6" width="10.5546875" customWidth="1"/>
    <col min="7" max="7" width="12.44140625" customWidth="1"/>
    <col min="8" max="8" width="8.109375" bestFit="1" customWidth="1"/>
  </cols>
  <sheetData>
    <row r="1" spans="1:29">
      <c r="A1" s="212" t="s">
        <v>175</v>
      </c>
    </row>
    <row r="2" spans="1:29" ht="43.2">
      <c r="A2" s="214" t="s">
        <v>174</v>
      </c>
      <c r="AA2" s="160" t="s">
        <v>42</v>
      </c>
      <c r="AB2" s="160" t="s">
        <v>43</v>
      </c>
      <c r="AC2" s="160" t="s">
        <v>44</v>
      </c>
    </row>
    <row r="3" spans="1:29">
      <c r="A3" t="s">
        <v>173</v>
      </c>
      <c r="AA3" s="162">
        <f>AB3*AC3</f>
        <v>176</v>
      </c>
      <c r="AB3" s="161">
        <v>22</v>
      </c>
      <c r="AC3" s="162">
        <v>8</v>
      </c>
    </row>
    <row r="4" spans="1:29">
      <c r="A4" s="213" t="s">
        <v>172</v>
      </c>
    </row>
    <row r="5" spans="1:29">
      <c r="A5" s="213"/>
    </row>
    <row r="6" spans="1:29">
      <c r="A6" s="213"/>
    </row>
    <row r="7" spans="1:29">
      <c r="A7" s="212" t="s">
        <v>171</v>
      </c>
    </row>
    <row r="9" spans="1:29">
      <c r="B9" s="408" t="s">
        <v>170</v>
      </c>
      <c r="C9" s="408" t="s">
        <v>169</v>
      </c>
      <c r="D9" s="408" t="s">
        <v>168</v>
      </c>
      <c r="E9" s="408" t="s">
        <v>167</v>
      </c>
      <c r="F9" s="408" t="s">
        <v>166</v>
      </c>
      <c r="G9" s="408" t="s">
        <v>165</v>
      </c>
      <c r="H9" s="410" t="s">
        <v>164</v>
      </c>
      <c r="I9" s="410"/>
      <c r="J9" s="410"/>
      <c r="K9" s="410"/>
      <c r="L9" s="410"/>
      <c r="M9" s="410"/>
      <c r="N9" s="410"/>
      <c r="O9" s="410"/>
      <c r="P9" s="410"/>
      <c r="Q9" s="410"/>
      <c r="R9" s="410" t="s">
        <v>163</v>
      </c>
      <c r="S9" s="410"/>
      <c r="T9" s="410"/>
      <c r="U9" s="410"/>
      <c r="V9" s="410"/>
      <c r="W9" s="410"/>
      <c r="X9" s="391" t="s">
        <v>162</v>
      </c>
      <c r="Y9" s="391"/>
      <c r="Z9" s="408" t="s">
        <v>161</v>
      </c>
      <c r="AB9" s="408" t="s">
        <v>222</v>
      </c>
    </row>
    <row r="10" spans="1:29">
      <c r="B10" s="408"/>
      <c r="C10" s="408"/>
      <c r="D10" s="408"/>
      <c r="E10" s="408"/>
      <c r="F10" s="408"/>
      <c r="G10" s="408"/>
      <c r="H10" s="408" t="s">
        <v>160</v>
      </c>
      <c r="I10" s="408"/>
      <c r="J10" s="408" t="s">
        <v>159</v>
      </c>
      <c r="K10" s="408"/>
      <c r="L10" s="408" t="s">
        <v>158</v>
      </c>
      <c r="M10" s="408"/>
      <c r="N10" s="408" t="s">
        <v>157</v>
      </c>
      <c r="O10" s="408"/>
      <c r="P10" s="408" t="s">
        <v>156</v>
      </c>
      <c r="Q10" s="408"/>
      <c r="R10" s="408" t="s">
        <v>155</v>
      </c>
      <c r="S10" s="408"/>
      <c r="T10" s="408" t="s">
        <v>154</v>
      </c>
      <c r="U10" s="408"/>
      <c r="V10" s="408" t="s">
        <v>153</v>
      </c>
      <c r="W10" s="408"/>
      <c r="X10" s="391"/>
      <c r="Y10" s="391"/>
      <c r="Z10" s="408"/>
      <c r="AB10" s="408"/>
    </row>
    <row r="11" spans="1:29">
      <c r="B11" s="408"/>
      <c r="C11" s="408"/>
      <c r="D11" s="408"/>
      <c r="E11" s="408"/>
      <c r="F11" s="408"/>
      <c r="G11" s="408"/>
      <c r="H11" s="180" t="s">
        <v>152</v>
      </c>
      <c r="I11" s="180" t="s">
        <v>151</v>
      </c>
      <c r="J11" s="180" t="s">
        <v>152</v>
      </c>
      <c r="K11" s="180" t="s">
        <v>151</v>
      </c>
      <c r="L11" s="180" t="s">
        <v>152</v>
      </c>
      <c r="M11" s="180" t="s">
        <v>151</v>
      </c>
      <c r="N11" s="180" t="s">
        <v>152</v>
      </c>
      <c r="O11" s="180" t="s">
        <v>151</v>
      </c>
      <c r="P11" s="180" t="s">
        <v>152</v>
      </c>
      <c r="Q11" s="180" t="s">
        <v>151</v>
      </c>
      <c r="R11" s="180" t="s">
        <v>152</v>
      </c>
      <c r="S11" s="180" t="s">
        <v>151</v>
      </c>
      <c r="T11" s="180" t="s">
        <v>152</v>
      </c>
      <c r="U11" s="180" t="s">
        <v>151</v>
      </c>
      <c r="V11" s="180" t="s">
        <v>152</v>
      </c>
      <c r="W11" s="180" t="s">
        <v>151</v>
      </c>
      <c r="X11" s="180" t="s">
        <v>152</v>
      </c>
      <c r="Y11" s="180" t="s">
        <v>151</v>
      </c>
      <c r="Z11" s="180" t="s">
        <v>151</v>
      </c>
      <c r="AB11" s="187" t="s">
        <v>151</v>
      </c>
    </row>
    <row r="12" spans="1:29" s="226" customFormat="1">
      <c r="A12" s="176" t="s">
        <v>257</v>
      </c>
      <c r="B12" s="176" t="s">
        <v>255</v>
      </c>
      <c r="C12" s="176" t="s">
        <v>257</v>
      </c>
      <c r="D12" s="211" t="s">
        <v>35</v>
      </c>
      <c r="E12" s="211">
        <v>18561.82</v>
      </c>
      <c r="F12" s="211">
        <v>80.150000000000006</v>
      </c>
      <c r="G12" s="211">
        <v>14877.3</v>
      </c>
      <c r="H12" s="211">
        <v>2.9</v>
      </c>
      <c r="I12" s="211">
        <v>537.62</v>
      </c>
      <c r="J12" s="211">
        <v>0.08</v>
      </c>
      <c r="K12" s="211">
        <v>15.61</v>
      </c>
      <c r="L12" s="211" t="s">
        <v>256</v>
      </c>
      <c r="M12" s="211" t="s">
        <v>256</v>
      </c>
      <c r="N12" s="211" t="s">
        <v>256</v>
      </c>
      <c r="O12" s="211" t="s">
        <v>256</v>
      </c>
      <c r="P12" s="211">
        <v>0.02</v>
      </c>
      <c r="Q12" s="211">
        <v>3.13</v>
      </c>
      <c r="R12" s="211" t="s">
        <v>256</v>
      </c>
      <c r="S12" s="211" t="s">
        <v>256</v>
      </c>
      <c r="T12" s="211">
        <v>1.05</v>
      </c>
      <c r="U12" s="211">
        <v>195.17</v>
      </c>
      <c r="V12" s="211">
        <v>0.03</v>
      </c>
      <c r="W12" s="211">
        <v>5.8</v>
      </c>
      <c r="X12" s="254">
        <v>84.23</v>
      </c>
      <c r="Y12" s="254">
        <v>15634.62</v>
      </c>
      <c r="Z12" s="219">
        <v>34196.44</v>
      </c>
      <c r="AA12" s="254"/>
    </row>
    <row r="13" spans="1:29">
      <c r="A13" s="176" t="s">
        <v>1</v>
      </c>
      <c r="B13" s="176" t="s">
        <v>220</v>
      </c>
      <c r="C13" s="176" t="s">
        <v>221</v>
      </c>
      <c r="D13" s="176" t="s">
        <v>35</v>
      </c>
      <c r="E13" s="211">
        <v>15468.18</v>
      </c>
      <c r="F13" s="211">
        <v>80.150000000000006</v>
      </c>
      <c r="G13" s="211">
        <v>12397.75</v>
      </c>
      <c r="H13" s="211">
        <v>3.48</v>
      </c>
      <c r="I13" s="211">
        <v>537.62</v>
      </c>
      <c r="J13" s="211">
        <v>0.1</v>
      </c>
      <c r="K13" s="211">
        <v>15.61</v>
      </c>
      <c r="L13" s="211"/>
      <c r="M13" s="211"/>
      <c r="N13" s="211"/>
      <c r="O13" s="211"/>
      <c r="P13" s="211">
        <v>0.02</v>
      </c>
      <c r="Q13" s="211">
        <v>3.13</v>
      </c>
      <c r="R13" s="211"/>
      <c r="S13" s="211"/>
      <c r="T13" s="211">
        <v>1.26</v>
      </c>
      <c r="U13" s="211">
        <v>195.17</v>
      </c>
      <c r="V13" s="211">
        <v>0.04</v>
      </c>
      <c r="W13" s="211">
        <v>5.8</v>
      </c>
      <c r="X13" s="211">
        <v>85.05</v>
      </c>
      <c r="Y13" s="211">
        <v>13155.07</v>
      </c>
      <c r="Z13" s="210">
        <v>28623.25</v>
      </c>
      <c r="AA13" s="210"/>
      <c r="AB13" s="219">
        <f>Z13/$AA$3</f>
        <v>162.63210227272728</v>
      </c>
    </row>
    <row r="14" spans="1:29">
      <c r="A14" s="176" t="s">
        <v>54</v>
      </c>
      <c r="B14" s="176" t="s">
        <v>137</v>
      </c>
      <c r="C14" s="176" t="s">
        <v>136</v>
      </c>
      <c r="D14" s="176" t="s">
        <v>35</v>
      </c>
      <c r="E14" s="211">
        <f t="shared" ref="E14:K14" si="0">E24</f>
        <v>8882.5</v>
      </c>
      <c r="F14" s="211">
        <f t="shared" si="0"/>
        <v>80.150000000000006</v>
      </c>
      <c r="G14" s="211">
        <f t="shared" si="0"/>
        <v>7119.32</v>
      </c>
      <c r="H14" s="211">
        <f t="shared" si="0"/>
        <v>6.05</v>
      </c>
      <c r="I14" s="211">
        <f t="shared" si="0"/>
        <v>537.62</v>
      </c>
      <c r="J14" s="211">
        <f t="shared" si="0"/>
        <v>0.19</v>
      </c>
      <c r="K14" s="211">
        <f t="shared" si="0"/>
        <v>17.09</v>
      </c>
      <c r="L14" s="211"/>
      <c r="M14" s="211"/>
      <c r="N14" s="211"/>
      <c r="O14" s="211"/>
      <c r="P14" s="211">
        <f t="shared" ref="P14:Z14" si="1">P24</f>
        <v>0.04</v>
      </c>
      <c r="Q14" s="211">
        <f t="shared" si="1"/>
        <v>3.13</v>
      </c>
      <c r="R14" s="211">
        <f t="shared" si="1"/>
        <v>0</v>
      </c>
      <c r="S14" s="211">
        <f t="shared" si="1"/>
        <v>0</v>
      </c>
      <c r="T14" s="211">
        <f t="shared" si="1"/>
        <v>2.2000000000000002</v>
      </c>
      <c r="U14" s="211">
        <f t="shared" si="1"/>
        <v>195.17</v>
      </c>
      <c r="V14" s="211">
        <f t="shared" si="1"/>
        <v>7.0000000000000007E-2</v>
      </c>
      <c r="W14" s="211">
        <f t="shared" si="1"/>
        <v>5.8</v>
      </c>
      <c r="X14" s="211">
        <f t="shared" si="1"/>
        <v>88.69</v>
      </c>
      <c r="Y14" s="211">
        <f t="shared" si="1"/>
        <v>7878.13</v>
      </c>
      <c r="Z14" s="211">
        <f t="shared" si="1"/>
        <v>16760.63</v>
      </c>
      <c r="AA14" s="210"/>
      <c r="AB14" s="219">
        <f t="shared" ref="AB14:AB25" si="2">Z14/$AA$3</f>
        <v>95.230852272727276</v>
      </c>
    </row>
    <row r="15" spans="1:29">
      <c r="A15" s="176" t="s">
        <v>55</v>
      </c>
      <c r="B15" s="176" t="s">
        <v>150</v>
      </c>
      <c r="C15" s="176" t="s">
        <v>149</v>
      </c>
      <c r="D15" s="176" t="s">
        <v>35</v>
      </c>
      <c r="E15" s="211">
        <v>4438.04</v>
      </c>
      <c r="F15" s="189">
        <v>80.56</v>
      </c>
      <c r="G15" s="211">
        <v>3575.28</v>
      </c>
      <c r="H15" s="211">
        <v>12.11</v>
      </c>
      <c r="I15" s="176">
        <v>537.62</v>
      </c>
      <c r="J15" s="176">
        <v>0.39</v>
      </c>
      <c r="K15" s="176">
        <v>17.09</v>
      </c>
      <c r="L15" s="176"/>
      <c r="M15" s="176"/>
      <c r="N15" s="176"/>
      <c r="O15" s="176"/>
      <c r="P15" s="211">
        <v>7.0000000000000007E-2</v>
      </c>
      <c r="Q15" s="176">
        <v>3.14</v>
      </c>
      <c r="R15" s="211"/>
      <c r="S15" s="176">
        <v>0</v>
      </c>
      <c r="T15" s="211">
        <v>4.4000000000000004</v>
      </c>
      <c r="U15" s="176">
        <v>195.17</v>
      </c>
      <c r="V15" s="211">
        <v>0.13</v>
      </c>
      <c r="W15" s="211">
        <v>5.8</v>
      </c>
      <c r="X15" s="211">
        <v>97.66</v>
      </c>
      <c r="Y15" s="211">
        <v>4334.1099999999997</v>
      </c>
      <c r="Z15" s="211">
        <v>8772.14</v>
      </c>
      <c r="AA15" s="210"/>
      <c r="AB15" s="219">
        <f t="shared" si="2"/>
        <v>49.84170454545454</v>
      </c>
    </row>
    <row r="16" spans="1:29">
      <c r="A16" s="176" t="s">
        <v>56</v>
      </c>
      <c r="B16" s="176" t="s">
        <v>148</v>
      </c>
      <c r="C16" s="176" t="s">
        <v>147</v>
      </c>
      <c r="D16" s="176" t="s">
        <v>35</v>
      </c>
      <c r="E16" s="211">
        <v>5917.38</v>
      </c>
      <c r="F16" s="189">
        <v>80.56</v>
      </c>
      <c r="G16" s="211">
        <v>4767.04</v>
      </c>
      <c r="H16" s="211">
        <v>9.09</v>
      </c>
      <c r="I16" s="176">
        <v>537.62</v>
      </c>
      <c r="J16" s="176">
        <v>0.28999999999999998</v>
      </c>
      <c r="K16" s="176">
        <v>17.09</v>
      </c>
      <c r="L16" s="176"/>
      <c r="M16" s="176"/>
      <c r="N16" s="176"/>
      <c r="O16" s="176"/>
      <c r="P16" s="211">
        <v>0.05</v>
      </c>
      <c r="Q16" s="176">
        <v>3.14</v>
      </c>
      <c r="R16" s="211"/>
      <c r="S16" s="176"/>
      <c r="T16" s="211">
        <v>3.3</v>
      </c>
      <c r="U16" s="176">
        <v>195.17</v>
      </c>
      <c r="V16" s="211">
        <v>0.1</v>
      </c>
      <c r="W16" s="211">
        <v>5.8</v>
      </c>
      <c r="X16" s="211">
        <v>93.38</v>
      </c>
      <c r="Y16" s="211">
        <v>5525.87</v>
      </c>
      <c r="Z16" s="211">
        <v>11443.25</v>
      </c>
      <c r="AA16" s="210"/>
      <c r="AB16" s="219">
        <f t="shared" si="2"/>
        <v>65.018465909090907</v>
      </c>
    </row>
    <row r="17" spans="1:28">
      <c r="A17" s="176" t="s">
        <v>57</v>
      </c>
      <c r="B17" s="176"/>
      <c r="C17" s="176" t="s">
        <v>146</v>
      </c>
      <c r="D17" s="176" t="s">
        <v>35</v>
      </c>
      <c r="E17" s="211">
        <f>C34</f>
        <v>6979.755030152789</v>
      </c>
      <c r="F17" s="189">
        <f>F18</f>
        <v>80</v>
      </c>
      <c r="G17" s="211">
        <f>F17/100*E17</f>
        <v>5583.8040241222316</v>
      </c>
      <c r="H17" s="211">
        <f>I17/E17*100</f>
        <v>7.7025625924901737</v>
      </c>
      <c r="I17" s="176">
        <f>I16</f>
        <v>537.62</v>
      </c>
      <c r="J17" s="176"/>
      <c r="K17" s="176"/>
      <c r="L17" s="176"/>
      <c r="M17" s="176"/>
      <c r="N17" s="176"/>
      <c r="O17" s="176"/>
      <c r="P17" s="211">
        <f>Q17/$E$17*100</f>
        <v>4.0259292594950688E-2</v>
      </c>
      <c r="Q17" s="176">
        <f>Q18</f>
        <v>2.81</v>
      </c>
      <c r="R17" s="211"/>
      <c r="S17" s="176"/>
      <c r="T17" s="211">
        <f>U17/$E$17*100</f>
        <v>2.7962299415503646</v>
      </c>
      <c r="U17" s="176">
        <f>U16</f>
        <v>195.17</v>
      </c>
      <c r="V17" s="211">
        <f>W17/$E$17*100</f>
        <v>8.3097472260040564E-2</v>
      </c>
      <c r="W17" s="211">
        <f>W16</f>
        <v>5.8</v>
      </c>
      <c r="X17" s="211">
        <f>Y17/$E$17*100</f>
        <v>90.622149298895522</v>
      </c>
      <c r="Y17" s="176">
        <f>SUM(W17,U17,S17,Q17,O17,M17,K17,I17,G17)</f>
        <v>6325.2040241222312</v>
      </c>
      <c r="Z17" s="211">
        <f>Y17+E17</f>
        <v>13304.959054275019</v>
      </c>
      <c r="AA17" s="210"/>
      <c r="AB17" s="219">
        <f t="shared" si="2"/>
        <v>75.596358262926245</v>
      </c>
    </row>
    <row r="18" spans="1:28">
      <c r="A18" s="176" t="s">
        <v>58</v>
      </c>
      <c r="B18" s="176" t="s">
        <v>145</v>
      </c>
      <c r="C18" s="176" t="s">
        <v>144</v>
      </c>
      <c r="D18" s="176" t="s">
        <v>35</v>
      </c>
      <c r="E18" s="211">
        <v>4780.17</v>
      </c>
      <c r="F18" s="189">
        <v>80</v>
      </c>
      <c r="G18" s="211">
        <v>3824.13</v>
      </c>
      <c r="H18" s="211">
        <v>11.25</v>
      </c>
      <c r="I18" s="176">
        <v>537.62</v>
      </c>
      <c r="J18" s="176"/>
      <c r="K18" s="176"/>
      <c r="L18" s="176"/>
      <c r="M18" s="176"/>
      <c r="N18" s="176"/>
      <c r="O18" s="176"/>
      <c r="P18" s="211">
        <v>0.06</v>
      </c>
      <c r="Q18" s="176">
        <v>2.81</v>
      </c>
      <c r="R18" s="211"/>
      <c r="S18" s="176"/>
      <c r="T18" s="211">
        <v>4.08</v>
      </c>
      <c r="U18" s="176">
        <v>195.17</v>
      </c>
      <c r="V18" s="211">
        <v>0.12</v>
      </c>
      <c r="W18" s="211">
        <v>5.8</v>
      </c>
      <c r="X18" s="211">
        <v>95.51</v>
      </c>
      <c r="Y18" s="211">
        <v>4565.54</v>
      </c>
      <c r="Z18" s="211">
        <v>9345.7099999999991</v>
      </c>
      <c r="AA18" s="210"/>
      <c r="AB18" s="219">
        <f t="shared" si="2"/>
        <v>53.100624999999994</v>
      </c>
    </row>
    <row r="19" spans="1:28">
      <c r="A19" s="176" t="s">
        <v>59</v>
      </c>
      <c r="B19" s="176" t="s">
        <v>143</v>
      </c>
      <c r="C19" s="176" t="s">
        <v>142</v>
      </c>
      <c r="D19" s="176" t="s">
        <v>35</v>
      </c>
      <c r="E19" s="211">
        <v>11465.65</v>
      </c>
      <c r="F19" s="189">
        <v>80</v>
      </c>
      <c r="G19" s="211">
        <v>9172.52</v>
      </c>
      <c r="H19" s="211">
        <v>4.6900000000000004</v>
      </c>
      <c r="I19" s="176">
        <v>537.62</v>
      </c>
      <c r="J19" s="176"/>
      <c r="K19" s="176"/>
      <c r="L19" s="176"/>
      <c r="M19" s="176"/>
      <c r="N19" s="176"/>
      <c r="O19" s="176"/>
      <c r="P19" s="211">
        <v>0.02</v>
      </c>
      <c r="Q19" s="176">
        <v>2.81</v>
      </c>
      <c r="R19" s="211"/>
      <c r="S19" s="176"/>
      <c r="T19" s="211">
        <v>1.7</v>
      </c>
      <c r="U19" s="176">
        <v>195.17</v>
      </c>
      <c r="V19" s="211">
        <v>0.05</v>
      </c>
      <c r="W19" s="211">
        <v>5.8</v>
      </c>
      <c r="X19" s="211">
        <v>86.47</v>
      </c>
      <c r="Y19" s="211">
        <v>9913.92</v>
      </c>
      <c r="Z19" s="211">
        <v>21379.57</v>
      </c>
      <c r="AA19" s="210"/>
      <c r="AB19" s="219">
        <f t="shared" si="2"/>
        <v>121.47482954545454</v>
      </c>
    </row>
    <row r="20" spans="1:28">
      <c r="A20" s="176" t="s">
        <v>60</v>
      </c>
      <c r="B20" s="176" t="s">
        <v>141</v>
      </c>
      <c r="C20" s="176" t="s">
        <v>140</v>
      </c>
      <c r="D20" s="176" t="s">
        <v>35</v>
      </c>
      <c r="E20" s="211">
        <v>4066.47</v>
      </c>
      <c r="F20" s="189">
        <v>80.239999999999995</v>
      </c>
      <c r="G20" s="211">
        <v>3262.94</v>
      </c>
      <c r="H20" s="211">
        <v>13.22</v>
      </c>
      <c r="I20" s="176">
        <v>537.62</v>
      </c>
      <c r="J20" s="176"/>
      <c r="K20" s="176"/>
      <c r="L20" s="176"/>
      <c r="M20" s="176"/>
      <c r="N20" s="176"/>
      <c r="O20" s="176"/>
      <c r="P20" s="211">
        <v>7.0000000000000007E-2</v>
      </c>
      <c r="Q20" s="176">
        <v>2.78</v>
      </c>
      <c r="R20" s="211"/>
      <c r="S20" s="176"/>
      <c r="T20" s="211">
        <v>4.8</v>
      </c>
      <c r="U20" s="176">
        <v>195.17</v>
      </c>
      <c r="V20" s="211">
        <v>0.14000000000000001</v>
      </c>
      <c r="W20" s="211">
        <v>5.8</v>
      </c>
      <c r="X20" s="211">
        <v>98.47</v>
      </c>
      <c r="Y20" s="211">
        <v>4004.31</v>
      </c>
      <c r="Z20" s="211">
        <v>8070.79</v>
      </c>
      <c r="AA20" s="210"/>
      <c r="AB20" s="219">
        <f t="shared" si="2"/>
        <v>45.856761363636366</v>
      </c>
    </row>
    <row r="21" spans="1:28">
      <c r="A21" s="176" t="s">
        <v>61</v>
      </c>
      <c r="B21" s="176" t="s">
        <v>139</v>
      </c>
      <c r="C21" s="176" t="s">
        <v>138</v>
      </c>
      <c r="D21" s="176" t="s">
        <v>35</v>
      </c>
      <c r="E21" s="211">
        <v>8882.5</v>
      </c>
      <c r="F21" s="189">
        <v>80.180000000000007</v>
      </c>
      <c r="G21" s="211">
        <v>7121.99</v>
      </c>
      <c r="H21" s="211">
        <v>6.05</v>
      </c>
      <c r="I21" s="176">
        <v>537.62</v>
      </c>
      <c r="J21" s="176">
        <v>0.19</v>
      </c>
      <c r="K21" s="176">
        <v>17.09</v>
      </c>
      <c r="L21" s="176"/>
      <c r="M21" s="176"/>
      <c r="N21" s="176"/>
      <c r="O21" s="176"/>
      <c r="P21" s="211">
        <v>0.03</v>
      </c>
      <c r="Q21" s="176">
        <v>2.76</v>
      </c>
      <c r="R21" s="211"/>
      <c r="S21" s="176"/>
      <c r="T21" s="211">
        <v>2.2000000000000002</v>
      </c>
      <c r="U21" s="176">
        <v>195.17</v>
      </c>
      <c r="V21" s="211">
        <v>7.0000000000000007E-2</v>
      </c>
      <c r="W21" s="211">
        <v>5.8</v>
      </c>
      <c r="X21" s="211">
        <v>88.72</v>
      </c>
      <c r="Y21" s="211">
        <v>7880.43</v>
      </c>
      <c r="Z21" s="211">
        <v>16762.93</v>
      </c>
      <c r="AA21" s="210"/>
      <c r="AB21" s="219">
        <f t="shared" si="2"/>
        <v>95.24392045454546</v>
      </c>
    </row>
    <row r="22" spans="1:28">
      <c r="A22" s="176" t="s">
        <v>62</v>
      </c>
      <c r="B22" s="176" t="s">
        <v>137</v>
      </c>
      <c r="C22" s="176" t="s">
        <v>136</v>
      </c>
      <c r="D22" s="176" t="s">
        <v>35</v>
      </c>
      <c r="E22" s="211">
        <f t="shared" ref="E22:K23" si="3">E24</f>
        <v>8882.5</v>
      </c>
      <c r="F22" s="211">
        <f t="shared" si="3"/>
        <v>80.150000000000006</v>
      </c>
      <c r="G22" s="211">
        <f t="shared" si="3"/>
        <v>7119.32</v>
      </c>
      <c r="H22" s="211">
        <f t="shared" si="3"/>
        <v>6.05</v>
      </c>
      <c r="I22" s="211">
        <f t="shared" si="3"/>
        <v>537.62</v>
      </c>
      <c r="J22" s="211">
        <f t="shared" si="3"/>
        <v>0.19</v>
      </c>
      <c r="K22" s="211">
        <f t="shared" si="3"/>
        <v>17.09</v>
      </c>
      <c r="L22" s="211"/>
      <c r="M22" s="211"/>
      <c r="N22" s="211"/>
      <c r="O22" s="211"/>
      <c r="P22" s="211">
        <f t="shared" ref="P22:Z22" si="4">P24</f>
        <v>0.04</v>
      </c>
      <c r="Q22" s="211">
        <f t="shared" si="4"/>
        <v>3.13</v>
      </c>
      <c r="R22" s="211">
        <f t="shared" si="4"/>
        <v>0</v>
      </c>
      <c r="S22" s="211">
        <f t="shared" si="4"/>
        <v>0</v>
      </c>
      <c r="T22" s="211">
        <f t="shared" si="4"/>
        <v>2.2000000000000002</v>
      </c>
      <c r="U22" s="211">
        <f t="shared" si="4"/>
        <v>195.17</v>
      </c>
      <c r="V22" s="211">
        <f t="shared" si="4"/>
        <v>7.0000000000000007E-2</v>
      </c>
      <c r="W22" s="211">
        <f t="shared" si="4"/>
        <v>5.8</v>
      </c>
      <c r="X22" s="211">
        <f t="shared" si="4"/>
        <v>88.69</v>
      </c>
      <c r="Y22" s="211">
        <f t="shared" si="4"/>
        <v>7878.13</v>
      </c>
      <c r="Z22" s="211">
        <f t="shared" si="4"/>
        <v>16760.63</v>
      </c>
      <c r="AA22" s="210"/>
      <c r="AB22" s="219">
        <f t="shared" si="2"/>
        <v>95.230852272727276</v>
      </c>
    </row>
    <row r="23" spans="1:28">
      <c r="A23" s="176" t="s">
        <v>63</v>
      </c>
      <c r="B23" s="176" t="s">
        <v>135</v>
      </c>
      <c r="C23" s="176" t="s">
        <v>134</v>
      </c>
      <c r="D23" s="176" t="s">
        <v>35</v>
      </c>
      <c r="E23" s="211">
        <f t="shared" si="3"/>
        <v>10124.530000000001</v>
      </c>
      <c r="F23" s="211">
        <f t="shared" si="3"/>
        <v>80.150000000000006</v>
      </c>
      <c r="G23" s="211">
        <f t="shared" si="3"/>
        <v>8114.81</v>
      </c>
      <c r="H23" s="211">
        <f t="shared" si="3"/>
        <v>5.31</v>
      </c>
      <c r="I23" s="211">
        <f t="shared" si="3"/>
        <v>537.62</v>
      </c>
      <c r="J23" s="211">
        <f t="shared" si="3"/>
        <v>0.17</v>
      </c>
      <c r="K23" s="211">
        <f t="shared" si="3"/>
        <v>17.09</v>
      </c>
      <c r="L23" s="211"/>
      <c r="M23" s="211"/>
      <c r="N23" s="211"/>
      <c r="O23" s="211"/>
      <c r="P23" s="211">
        <f t="shared" ref="P23:Z23" si="5">P25</f>
        <v>0.03</v>
      </c>
      <c r="Q23" s="211">
        <f t="shared" si="5"/>
        <v>3.13</v>
      </c>
      <c r="R23" s="211">
        <f t="shared" si="5"/>
        <v>0</v>
      </c>
      <c r="S23" s="211">
        <f t="shared" si="5"/>
        <v>0</v>
      </c>
      <c r="T23" s="211">
        <f t="shared" si="5"/>
        <v>1.93</v>
      </c>
      <c r="U23" s="211">
        <f t="shared" si="5"/>
        <v>195.17</v>
      </c>
      <c r="V23" s="211">
        <f t="shared" si="5"/>
        <v>0.06</v>
      </c>
      <c r="W23" s="211">
        <f t="shared" si="5"/>
        <v>5.8</v>
      </c>
      <c r="X23" s="211">
        <f t="shared" si="5"/>
        <v>87.64</v>
      </c>
      <c r="Y23" s="211">
        <f t="shared" si="5"/>
        <v>8873.6200000000008</v>
      </c>
      <c r="Z23" s="211">
        <f t="shared" si="5"/>
        <v>18998.16</v>
      </c>
      <c r="AA23" s="210"/>
      <c r="AB23" s="219">
        <f t="shared" si="2"/>
        <v>107.9440909090909</v>
      </c>
    </row>
    <row r="24" spans="1:28">
      <c r="A24" s="176" t="s">
        <v>64</v>
      </c>
      <c r="B24" s="176" t="s">
        <v>137</v>
      </c>
      <c r="C24" s="176" t="s">
        <v>136</v>
      </c>
      <c r="D24" s="176" t="s">
        <v>35</v>
      </c>
      <c r="E24" s="211">
        <v>8882.5</v>
      </c>
      <c r="F24" s="189">
        <v>80.150000000000006</v>
      </c>
      <c r="G24" s="211">
        <v>7119.32</v>
      </c>
      <c r="H24" s="211">
        <v>6.05</v>
      </c>
      <c r="I24" s="176">
        <v>537.62</v>
      </c>
      <c r="J24" s="176">
        <v>0.19</v>
      </c>
      <c r="K24" s="176">
        <v>17.09</v>
      </c>
      <c r="L24" s="176"/>
      <c r="M24" s="176"/>
      <c r="N24" s="176"/>
      <c r="O24" s="176"/>
      <c r="P24" s="211">
        <v>0.04</v>
      </c>
      <c r="Q24" s="176">
        <v>3.13</v>
      </c>
      <c r="R24" s="211"/>
      <c r="S24" s="176"/>
      <c r="T24" s="211">
        <v>2.2000000000000002</v>
      </c>
      <c r="U24" s="176">
        <v>195.17</v>
      </c>
      <c r="V24" s="211">
        <v>7.0000000000000007E-2</v>
      </c>
      <c r="W24" s="211">
        <v>5.8</v>
      </c>
      <c r="X24" s="211">
        <v>88.69</v>
      </c>
      <c r="Y24" s="211">
        <v>7878.13</v>
      </c>
      <c r="Z24" s="211">
        <v>16760.63</v>
      </c>
      <c r="AA24" s="210"/>
      <c r="AB24" s="219">
        <f t="shared" si="2"/>
        <v>95.230852272727276</v>
      </c>
    </row>
    <row r="25" spans="1:28">
      <c r="A25" s="176" t="s">
        <v>65</v>
      </c>
      <c r="B25" s="176" t="s">
        <v>135</v>
      </c>
      <c r="C25" s="176" t="s">
        <v>134</v>
      </c>
      <c r="D25" s="176" t="s">
        <v>35</v>
      </c>
      <c r="E25" s="211">
        <v>10124.530000000001</v>
      </c>
      <c r="F25" s="189">
        <v>80.150000000000006</v>
      </c>
      <c r="G25" s="211">
        <v>8114.81</v>
      </c>
      <c r="H25" s="211">
        <v>5.31</v>
      </c>
      <c r="I25" s="176">
        <v>537.62</v>
      </c>
      <c r="J25" s="176">
        <v>0.17</v>
      </c>
      <c r="K25" s="176">
        <v>17.09</v>
      </c>
      <c r="L25" s="176"/>
      <c r="M25" s="176"/>
      <c r="N25" s="176"/>
      <c r="O25" s="176"/>
      <c r="P25" s="211">
        <v>0.03</v>
      </c>
      <c r="Q25" s="176">
        <v>3.13</v>
      </c>
      <c r="R25" s="211"/>
      <c r="S25" s="176"/>
      <c r="T25" s="211">
        <v>1.93</v>
      </c>
      <c r="U25" s="176">
        <v>195.17</v>
      </c>
      <c r="V25" s="211">
        <v>0.06</v>
      </c>
      <c r="W25" s="211">
        <v>5.8</v>
      </c>
      <c r="X25" s="211">
        <v>87.64</v>
      </c>
      <c r="Y25" s="211">
        <v>8873.6200000000008</v>
      </c>
      <c r="Z25" s="211">
        <v>18998.16</v>
      </c>
      <c r="AA25" s="210"/>
      <c r="AB25" s="219">
        <f t="shared" si="2"/>
        <v>107.9440909090909</v>
      </c>
    </row>
    <row r="26" spans="1:28">
      <c r="B26" s="209" t="s">
        <v>133</v>
      </c>
    </row>
    <row r="27" spans="1:28" ht="137.25" customHeight="1">
      <c r="B27" s="409" t="s">
        <v>258</v>
      </c>
      <c r="C27" s="409"/>
      <c r="D27" s="409"/>
      <c r="E27" s="409"/>
      <c r="F27" s="409"/>
      <c r="G27" s="409"/>
      <c r="H27" s="409"/>
      <c r="I27" s="409"/>
    </row>
    <row r="28" spans="1:28">
      <c r="B28" s="268" t="s">
        <v>259</v>
      </c>
    </row>
    <row r="29" spans="1:28">
      <c r="B29" s="269">
        <v>43831</v>
      </c>
      <c r="C29">
        <v>239.08600000000001</v>
      </c>
    </row>
    <row r="30" spans="1:28">
      <c r="B30" s="269">
        <v>43862</v>
      </c>
      <c r="C30">
        <v>239.69</v>
      </c>
    </row>
    <row r="31" spans="1:28">
      <c r="B31" s="269">
        <v>43891</v>
      </c>
      <c r="C31">
        <v>239.613</v>
      </c>
    </row>
    <row r="32" spans="1:28">
      <c r="B32" t="s">
        <v>260</v>
      </c>
      <c r="C32" s="270">
        <f>C31/C29-1</f>
        <v>2.2042277674141353E-3</v>
      </c>
    </row>
    <row r="33" spans="2:3">
      <c r="B33" t="s">
        <v>262</v>
      </c>
      <c r="C33" s="271">
        <v>6995.14</v>
      </c>
    </row>
    <row r="34" spans="2:3">
      <c r="B34" s="226" t="s">
        <v>261</v>
      </c>
      <c r="C34" s="271">
        <f>C33/(1+C32)</f>
        <v>6979.755030152789</v>
      </c>
    </row>
  </sheetData>
  <sheetProtection algorithmName="SHA-512" hashValue="W7cydKYNVTOxHubqMaaYSK6VhnZa6p4xbpXACcQ9B8mLa3/YgC9qnFgNi0HvAWDsoKzXI8mmAPhYgXWnKKduFA==" saltValue="qkuBAbjZFsUECVNdswq+nQ==" spinCount="100000" sheet="1" objects="1" scenarios="1"/>
  <mergeCells count="20">
    <mergeCell ref="C9:C11"/>
    <mergeCell ref="D9:D11"/>
    <mergeCell ref="E9:E11"/>
    <mergeCell ref="F9:F11"/>
    <mergeCell ref="AB9:AB10"/>
    <mergeCell ref="B27:I27"/>
    <mergeCell ref="Z9:Z10"/>
    <mergeCell ref="R10:S10"/>
    <mergeCell ref="T10:U10"/>
    <mergeCell ref="V10:W10"/>
    <mergeCell ref="R9:W9"/>
    <mergeCell ref="X9:Y10"/>
    <mergeCell ref="G9:G11"/>
    <mergeCell ref="H9:Q9"/>
    <mergeCell ref="H10:I10"/>
    <mergeCell ref="J10:K10"/>
    <mergeCell ref="L10:M10"/>
    <mergeCell ref="N10:O10"/>
    <mergeCell ref="P10:Q10"/>
    <mergeCell ref="B9:B11"/>
  </mergeCells>
  <hyperlinks>
    <hyperlink ref="A4" r:id="rId1"/>
  </hyperlinks>
  <pageMargins left="0.511811024" right="0.511811024" top="0.78740157499999996" bottom="0.78740157499999996" header="0.31496062000000002" footer="0.31496062000000002"/>
  <pageSetup paperSize="9"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4.4"/>
  <cols>
    <col min="1" max="1" width="23.5546875" customWidth="1"/>
    <col min="2" max="2" width="27.5546875" bestFit="1" customWidth="1"/>
    <col min="3" max="3" width="35.33203125" bestFit="1" customWidth="1"/>
    <col min="4" max="4" width="18.5546875" bestFit="1" customWidth="1"/>
    <col min="5" max="5" width="7" bestFit="1" customWidth="1"/>
  </cols>
  <sheetData>
    <row r="1" spans="1:5">
      <c r="A1" s="212" t="s">
        <v>175</v>
      </c>
    </row>
    <row r="2" spans="1:5">
      <c r="A2" s="212" t="s">
        <v>174</v>
      </c>
    </row>
    <row r="3" spans="1:5">
      <c r="A3" t="s">
        <v>173</v>
      </c>
    </row>
    <row r="4" spans="1:5">
      <c r="A4" s="213" t="s">
        <v>172</v>
      </c>
    </row>
    <row r="9" spans="1:5">
      <c r="A9" s="212" t="s">
        <v>219</v>
      </c>
    </row>
    <row r="11" spans="1:5">
      <c r="A11" s="218" t="s">
        <v>4</v>
      </c>
      <c r="B11" s="218" t="s">
        <v>218</v>
      </c>
      <c r="C11" s="218" t="s">
        <v>217</v>
      </c>
      <c r="D11" s="218" t="s">
        <v>168</v>
      </c>
      <c r="E11" s="218" t="s">
        <v>216</v>
      </c>
    </row>
    <row r="12" spans="1:5">
      <c r="A12" s="176" t="s">
        <v>215</v>
      </c>
      <c r="B12" s="176" t="s">
        <v>214</v>
      </c>
      <c r="C12" s="176" t="s">
        <v>213</v>
      </c>
      <c r="D12" s="176" t="s">
        <v>212</v>
      </c>
      <c r="E12" s="176">
        <v>26.93</v>
      </c>
    </row>
    <row r="13" spans="1:5">
      <c r="A13" s="176" t="s">
        <v>211</v>
      </c>
      <c r="B13" s="176" t="s">
        <v>210</v>
      </c>
      <c r="C13" s="176" t="s">
        <v>207</v>
      </c>
      <c r="D13" s="176" t="s">
        <v>206</v>
      </c>
      <c r="E13" s="176">
        <v>431.28</v>
      </c>
    </row>
    <row r="14" spans="1:5">
      <c r="A14" s="176" t="s">
        <v>209</v>
      </c>
      <c r="B14" s="176" t="s">
        <v>208</v>
      </c>
      <c r="C14" s="176" t="s">
        <v>207</v>
      </c>
      <c r="D14" s="176" t="s">
        <v>206</v>
      </c>
      <c r="E14" s="176">
        <v>152.78</v>
      </c>
    </row>
    <row r="15" spans="1:5">
      <c r="A15" t="s">
        <v>205</v>
      </c>
    </row>
    <row r="16" spans="1:5" ht="54" customHeight="1">
      <c r="A16" s="412" t="s">
        <v>204</v>
      </c>
      <c r="B16" s="412"/>
      <c r="C16" s="412"/>
      <c r="D16" s="412"/>
      <c r="E16" s="412"/>
    </row>
    <row r="17" spans="1:5" ht="45" customHeight="1">
      <c r="A17" s="412" t="s">
        <v>203</v>
      </c>
      <c r="B17" s="412"/>
      <c r="C17" s="412"/>
      <c r="D17" s="412"/>
      <c r="E17" s="412"/>
    </row>
    <row r="23" spans="1:5">
      <c r="A23" s="212" t="s">
        <v>202</v>
      </c>
    </row>
    <row r="24" spans="1:5" ht="18.75" customHeight="1">
      <c r="A24" s="411" t="s">
        <v>201</v>
      </c>
      <c r="B24" s="411"/>
      <c r="C24" s="411"/>
      <c r="D24" s="411"/>
    </row>
    <row r="25" spans="1:5">
      <c r="A25" s="415" t="s">
        <v>200</v>
      </c>
      <c r="B25" s="415"/>
      <c r="C25" s="217" t="s">
        <v>186</v>
      </c>
      <c r="D25" s="217" t="s">
        <v>185</v>
      </c>
    </row>
    <row r="26" spans="1:5">
      <c r="A26" s="176" t="s">
        <v>199</v>
      </c>
      <c r="B26" s="176" t="s">
        <v>189</v>
      </c>
      <c r="C26" s="189">
        <v>6.97</v>
      </c>
      <c r="D26" s="189">
        <v>10</v>
      </c>
    </row>
    <row r="27" spans="1:5">
      <c r="A27" s="176" t="s">
        <v>198</v>
      </c>
      <c r="B27" s="176" t="s">
        <v>197</v>
      </c>
      <c r="C27" s="189">
        <v>0.17</v>
      </c>
      <c r="D27" s="189">
        <v>0.25</v>
      </c>
    </row>
    <row r="28" spans="1:5">
      <c r="A28" s="176" t="s">
        <v>196</v>
      </c>
      <c r="B28" s="176" t="s">
        <v>195</v>
      </c>
      <c r="C28" s="189">
        <v>0.5</v>
      </c>
      <c r="D28" s="189">
        <v>0.72</v>
      </c>
    </row>
    <row r="29" spans="1:5">
      <c r="A29" s="176" t="s">
        <v>194</v>
      </c>
      <c r="B29" s="176" t="s">
        <v>193</v>
      </c>
      <c r="C29" s="189">
        <v>0.1</v>
      </c>
      <c r="D29" s="189">
        <v>0.14000000000000001</v>
      </c>
    </row>
    <row r="30" spans="1:5">
      <c r="A30" s="416" t="s">
        <v>192</v>
      </c>
      <c r="B30" s="416"/>
      <c r="C30" s="216">
        <f>SUM(C26:C29)</f>
        <v>7.7399999999999993</v>
      </c>
      <c r="D30" s="216">
        <f>SUM(D26:D29)</f>
        <v>11.110000000000001</v>
      </c>
    </row>
    <row r="31" spans="1:5">
      <c r="A31" s="415" t="s">
        <v>191</v>
      </c>
      <c r="B31" s="415"/>
      <c r="C31" s="217" t="s">
        <v>186</v>
      </c>
      <c r="D31" s="217" t="s">
        <v>185</v>
      </c>
    </row>
    <row r="32" spans="1:5">
      <c r="A32" s="176" t="s">
        <v>190</v>
      </c>
      <c r="B32" s="176" t="s">
        <v>189</v>
      </c>
      <c r="C32" s="189">
        <v>8.36</v>
      </c>
      <c r="D32" s="189">
        <v>12</v>
      </c>
    </row>
    <row r="33" spans="1:4">
      <c r="A33" s="416" t="s">
        <v>188</v>
      </c>
      <c r="B33" s="416"/>
      <c r="C33" s="216">
        <v>8.36</v>
      </c>
      <c r="D33" s="216">
        <f>D32</f>
        <v>12</v>
      </c>
    </row>
    <row r="34" spans="1:4">
      <c r="A34" s="415" t="s">
        <v>187</v>
      </c>
      <c r="B34" s="415"/>
      <c r="C34" s="217" t="s">
        <v>186</v>
      </c>
      <c r="D34" s="217" t="s">
        <v>185</v>
      </c>
    </row>
    <row r="35" spans="1:4">
      <c r="A35" s="176" t="s">
        <v>184</v>
      </c>
      <c r="B35" s="176" t="s">
        <v>183</v>
      </c>
      <c r="C35" s="189">
        <v>1.65</v>
      </c>
      <c r="D35" s="189">
        <v>2.37</v>
      </c>
    </row>
    <row r="36" spans="1:4">
      <c r="A36" s="176" t="s">
        <v>182</v>
      </c>
      <c r="B36" s="176" t="s">
        <v>181</v>
      </c>
      <c r="C36" s="189">
        <v>7.6</v>
      </c>
      <c r="D36" s="189">
        <v>10.91</v>
      </c>
    </row>
    <row r="37" spans="1:4">
      <c r="A37" s="176" t="s">
        <v>180</v>
      </c>
      <c r="B37" s="176" t="s">
        <v>179</v>
      </c>
      <c r="C37" s="189">
        <v>5</v>
      </c>
      <c r="D37" s="189">
        <v>7.18</v>
      </c>
    </row>
    <row r="38" spans="1:4">
      <c r="A38" s="416" t="s">
        <v>178</v>
      </c>
      <c r="B38" s="416"/>
      <c r="C38" s="216">
        <f>SUM(C35:C37)</f>
        <v>14.25</v>
      </c>
      <c r="D38" s="216">
        <f>SUM(D35:D37)</f>
        <v>20.46</v>
      </c>
    </row>
    <row r="39" spans="1:4">
      <c r="A39" s="413" t="s">
        <v>177</v>
      </c>
      <c r="B39" s="414"/>
      <c r="C39" s="215">
        <f>C38+C33+C30</f>
        <v>30.349999999999998</v>
      </c>
      <c r="D39" s="215">
        <f>D38+D33+D30</f>
        <v>43.57</v>
      </c>
    </row>
    <row r="41" spans="1:4">
      <c r="A41" t="s">
        <v>176</v>
      </c>
    </row>
    <row r="42" spans="1:4" ht="59.25" customHeight="1"/>
  </sheetData>
  <sheetProtection algorithmName="SHA-512" hashValue="Bt2LaeCLb7yFE/20fLnoRLZe0wbkpxz6uzH4bhrDvCoytVx2wn/djL+fgK3rFrV1fcBPutH9Dw6538SLlgUogg==" saltValue="IiqiImPpBKsAVgSTDMU7qA==" spinCount="100000" sheet="1" objects="1" scenarios="1"/>
  <mergeCells count="10">
    <mergeCell ref="A24:D24"/>
    <mergeCell ref="A16:E16"/>
    <mergeCell ref="A17:E17"/>
    <mergeCell ref="A39:B39"/>
    <mergeCell ref="A25:B25"/>
    <mergeCell ref="A31:B31"/>
    <mergeCell ref="A34:B34"/>
    <mergeCell ref="A30:B30"/>
    <mergeCell ref="A33:B33"/>
    <mergeCell ref="A38:B38"/>
  </mergeCells>
  <hyperlinks>
    <hyperlink ref="A4" r:id="rId1"/>
  </hyperlinks>
  <pageMargins left="0.511811024" right="0.511811024" top="0.78740157499999996" bottom="0.78740157499999996" header="0.31496062000000002" footer="0.31496062000000002"/>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E20"/>
  <sheetViews>
    <sheetView showGridLines="0" topLeftCell="A10" workbookViewId="0">
      <selection activeCell="C17" sqref="C17"/>
    </sheetView>
  </sheetViews>
  <sheetFormatPr defaultRowHeight="14.4"/>
  <cols>
    <col min="1" max="1" width="24.44140625" customWidth="1"/>
    <col min="2" max="2" width="27.5546875" bestFit="1" customWidth="1"/>
    <col min="3" max="3" width="35.33203125" bestFit="1" customWidth="1"/>
    <col min="4" max="4" width="18.5546875" bestFit="1" customWidth="1"/>
    <col min="5" max="5" width="7" bestFit="1" customWidth="1"/>
  </cols>
  <sheetData>
    <row r="5" spans="1:5">
      <c r="A5" s="255" t="s">
        <v>219</v>
      </c>
      <c r="B5" s="226"/>
      <c r="C5" s="226"/>
      <c r="D5" s="226"/>
      <c r="E5" s="226"/>
    </row>
    <row r="6" spans="1:5">
      <c r="A6" s="226"/>
      <c r="B6" s="226"/>
      <c r="C6" s="226"/>
      <c r="D6" s="226"/>
      <c r="E6" s="226"/>
    </row>
    <row r="7" spans="1:5">
      <c r="A7" s="218" t="s">
        <v>4</v>
      </c>
      <c r="B7" s="218" t="s">
        <v>218</v>
      </c>
      <c r="C7" s="218" t="s">
        <v>217</v>
      </c>
      <c r="D7" s="218" t="s">
        <v>168</v>
      </c>
      <c r="E7" s="218" t="s">
        <v>216</v>
      </c>
    </row>
    <row r="8" spans="1:5">
      <c r="A8" s="176" t="s">
        <v>215</v>
      </c>
      <c r="B8" s="176" t="s">
        <v>214</v>
      </c>
      <c r="C8" s="176" t="s">
        <v>213</v>
      </c>
      <c r="D8" s="176" t="s">
        <v>212</v>
      </c>
      <c r="E8" s="176">
        <v>26.93</v>
      </c>
    </row>
    <row r="9" spans="1:5">
      <c r="A9" s="176" t="s">
        <v>211</v>
      </c>
      <c r="B9" s="176" t="s">
        <v>210</v>
      </c>
      <c r="C9" s="176" t="s">
        <v>207</v>
      </c>
      <c r="D9" s="176" t="s">
        <v>206</v>
      </c>
      <c r="E9" s="176">
        <v>431.28</v>
      </c>
    </row>
    <row r="10" spans="1:5">
      <c r="A10" s="176" t="s">
        <v>209</v>
      </c>
      <c r="B10" s="176" t="s">
        <v>208</v>
      </c>
      <c r="C10" s="176" t="s">
        <v>207</v>
      </c>
      <c r="D10" s="176" t="s">
        <v>206</v>
      </c>
      <c r="E10" s="176">
        <v>152.78</v>
      </c>
    </row>
    <row r="12" spans="1:5">
      <c r="A12" s="226" t="s">
        <v>236</v>
      </c>
      <c r="B12" s="226"/>
      <c r="C12" s="226"/>
      <c r="D12" s="226"/>
      <c r="E12" s="226"/>
    </row>
    <row r="13" spans="1:5">
      <c r="A13" s="412" t="s">
        <v>233</v>
      </c>
      <c r="B13" s="412"/>
      <c r="C13" s="412"/>
      <c r="D13" s="412"/>
      <c r="E13" s="412"/>
    </row>
    <row r="14" spans="1:5" ht="47.25" customHeight="1">
      <c r="A14" s="412" t="s">
        <v>234</v>
      </c>
      <c r="B14" s="412"/>
      <c r="C14" s="412"/>
      <c r="D14" s="412"/>
      <c r="E14" s="412"/>
    </row>
    <row r="16" spans="1:5" ht="33.75" customHeight="1">
      <c r="A16" s="418" t="s">
        <v>232</v>
      </c>
      <c r="B16" s="418"/>
      <c r="C16" s="256">
        <f>SUM('Estimativa de horas por produto'!F2:P2,'Estimativa de horas por produto'!F6:P6,'Estimativa de horas por produto'!F10:P10,'Estimativa de horas por produto'!F14:P14,'Estimativa de horas por produto'!F18:P18,'Estimativa de horas por produto'!F22:P22,'Estimativa de horas por produto'!F26:P26,'Estimativa de horas por produto'!F30:P30)++'Custo Gerencial'!E13</f>
        <v>23</v>
      </c>
    </row>
    <row r="17" spans="1:3" ht="36" customHeight="1">
      <c r="A17" s="418" t="s">
        <v>235</v>
      </c>
      <c r="B17" s="418"/>
      <c r="C17" s="256">
        <f>(57.95/2)+(4.5*C16)</f>
        <v>132.47499999999999</v>
      </c>
    </row>
    <row r="18" spans="1:3" ht="27.75" customHeight="1">
      <c r="A18" s="419" t="s">
        <v>237</v>
      </c>
      <c r="B18" s="420"/>
      <c r="C18" s="256">
        <f>C17*E8</f>
        <v>3567.5517499999996</v>
      </c>
    </row>
    <row r="19" spans="1:3" ht="27.75" customHeight="1">
      <c r="A19" s="417" t="s">
        <v>238</v>
      </c>
      <c r="B19" s="417"/>
      <c r="C19" s="256">
        <f>E9*C16</f>
        <v>9919.4399999999987</v>
      </c>
    </row>
    <row r="20" spans="1:3" ht="21.75" customHeight="1">
      <c r="A20" s="417" t="s">
        <v>239</v>
      </c>
      <c r="B20" s="417"/>
      <c r="C20" s="256">
        <f>E10*C16</f>
        <v>3513.94</v>
      </c>
    </row>
  </sheetData>
  <sheetProtection algorithmName="SHA-512" hashValue="llJcYbrF/9zpuWfLEXBOLzmO32+Rpv4Tyat/icv86geR+sZpfe2CvfSjYbV1pwjDjT+3eBlYvosbBrD5w3NDBQ==" saltValue="/kZ2vDx1a7tT3jjiqKpMRw==" spinCount="100000" sheet="1" objects="1" scenarios="1"/>
  <mergeCells count="7">
    <mergeCell ref="A19:B19"/>
    <mergeCell ref="A20:B20"/>
    <mergeCell ref="A13:E13"/>
    <mergeCell ref="A14:E14"/>
    <mergeCell ref="A16:B16"/>
    <mergeCell ref="A17:B17"/>
    <mergeCell ref="A18:B18"/>
  </mergeCells>
  <pageMargins left="0.511811024" right="0.511811024" top="0.78740157499999996" bottom="0.78740157499999996" header="0.31496062000000002" footer="0.31496062000000002"/>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4"/>
  <sheetViews>
    <sheetView showGridLines="0" zoomScale="85" zoomScaleNormal="85" workbookViewId="0">
      <selection activeCell="C5" sqref="C5"/>
    </sheetView>
  </sheetViews>
  <sheetFormatPr defaultRowHeight="14.4"/>
  <cols>
    <col min="1" max="1" width="43.6640625" bestFit="1" customWidth="1"/>
    <col min="3" max="3" width="83.5546875" customWidth="1"/>
    <col min="4" max="4" width="32.5546875" customWidth="1"/>
    <col min="5" max="5" width="11.88671875" customWidth="1"/>
  </cols>
  <sheetData>
    <row r="2" spans="1:8">
      <c r="A2" s="1"/>
    </row>
    <row r="3" spans="1:8">
      <c r="A3" s="1" t="s">
        <v>251</v>
      </c>
    </row>
    <row r="4" spans="1:8">
      <c r="A4" s="263" t="s">
        <v>243</v>
      </c>
      <c r="B4" s="264" t="s">
        <v>27</v>
      </c>
      <c r="C4" s="264" t="s">
        <v>5</v>
      </c>
      <c r="D4" s="264" t="s">
        <v>247</v>
      </c>
      <c r="E4" s="266" t="s">
        <v>252</v>
      </c>
      <c r="F4" s="226"/>
      <c r="G4" s="226"/>
      <c r="H4" s="226"/>
    </row>
    <row r="5" spans="1:8" ht="187.2">
      <c r="A5" s="263" t="s">
        <v>128</v>
      </c>
      <c r="B5" s="264">
        <v>1</v>
      </c>
      <c r="C5" s="265" t="s">
        <v>244</v>
      </c>
      <c r="D5" s="265" t="s">
        <v>248</v>
      </c>
      <c r="E5" s="267">
        <f>28752.5/12</f>
        <v>2396.0416666666665</v>
      </c>
      <c r="F5" s="226"/>
      <c r="G5" s="226"/>
      <c r="H5" s="226"/>
    </row>
    <row r="6" spans="1:8" ht="43.2">
      <c r="A6" s="263" t="s">
        <v>129</v>
      </c>
      <c r="B6" s="264">
        <v>1</v>
      </c>
      <c r="C6" s="265" t="s">
        <v>245</v>
      </c>
      <c r="D6" s="265" t="s">
        <v>249</v>
      </c>
      <c r="E6" s="267">
        <f>28344.21/12</f>
        <v>2362.0174999999999</v>
      </c>
      <c r="F6" s="226"/>
      <c r="G6" s="226"/>
      <c r="H6" s="226"/>
    </row>
    <row r="7" spans="1:8" ht="57.6">
      <c r="A7" s="263" t="s">
        <v>130</v>
      </c>
      <c r="B7" s="264">
        <v>1</v>
      </c>
      <c r="C7" s="265" t="s">
        <v>246</v>
      </c>
      <c r="D7" s="265" t="s">
        <v>250</v>
      </c>
      <c r="E7" s="267">
        <f>316277.5/12</f>
        <v>26356.458333333332</v>
      </c>
      <c r="F7" s="226"/>
      <c r="G7" s="226"/>
      <c r="H7" s="226"/>
    </row>
    <row r="8" spans="1:8">
      <c r="A8" s="226" t="s">
        <v>253</v>
      </c>
      <c r="C8" s="226"/>
      <c r="D8" s="226"/>
      <c r="E8" s="226"/>
      <c r="F8" s="226"/>
      <c r="G8" s="226"/>
      <c r="H8" s="226"/>
    </row>
    <row r="9" spans="1:8">
      <c r="A9" s="226" t="s">
        <v>254</v>
      </c>
      <c r="C9" s="226"/>
      <c r="D9" s="254"/>
      <c r="E9" s="226"/>
      <c r="F9" s="226"/>
      <c r="G9" s="226"/>
      <c r="H9" s="226"/>
    </row>
    <row r="10" spans="1:8">
      <c r="A10" s="227"/>
      <c r="B10" s="226"/>
      <c r="C10" s="226"/>
      <c r="D10" s="254"/>
      <c r="E10" s="226"/>
      <c r="F10" s="226"/>
      <c r="G10" s="226"/>
      <c r="H10" s="226"/>
    </row>
    <row r="11" spans="1:8">
      <c r="A11" s="227"/>
      <c r="B11" s="226"/>
      <c r="C11" s="226"/>
      <c r="D11" s="254"/>
      <c r="E11" s="226"/>
      <c r="F11" s="226"/>
      <c r="G11" s="226"/>
      <c r="H11" s="226"/>
    </row>
    <row r="12" spans="1:8">
      <c r="A12" s="227"/>
      <c r="B12" s="226"/>
      <c r="C12" s="226"/>
      <c r="D12" s="226"/>
      <c r="E12" s="226"/>
      <c r="F12" s="226"/>
      <c r="G12" s="226"/>
      <c r="H12" s="226"/>
    </row>
    <row r="13" spans="1:8">
      <c r="A13" s="227"/>
      <c r="B13" s="226"/>
      <c r="C13" s="226"/>
      <c r="D13" s="226"/>
      <c r="E13" s="226"/>
      <c r="F13" s="226"/>
      <c r="G13" s="226"/>
      <c r="H13" s="226"/>
    </row>
    <row r="14" spans="1:8">
      <c r="A14" s="227"/>
      <c r="B14" s="226"/>
      <c r="C14" s="226"/>
      <c r="D14" s="226"/>
      <c r="E14" s="226"/>
      <c r="F14" s="226"/>
      <c r="G14" s="226"/>
      <c r="H14" s="226"/>
    </row>
    <row r="15" spans="1:8">
      <c r="A15" s="227"/>
      <c r="B15" s="226"/>
      <c r="C15" s="226"/>
      <c r="D15" s="254"/>
      <c r="E15" s="226"/>
      <c r="F15" s="226"/>
      <c r="G15" s="226"/>
      <c r="H15" s="226"/>
    </row>
    <row r="16" spans="1:8">
      <c r="A16" s="227"/>
      <c r="B16" s="226"/>
      <c r="C16" s="226"/>
      <c r="D16" s="226"/>
      <c r="E16" s="226"/>
      <c r="F16" s="226"/>
      <c r="G16" s="226"/>
      <c r="H16" s="226"/>
    </row>
    <row r="17" spans="1:8">
      <c r="A17" s="227"/>
      <c r="B17" s="226"/>
      <c r="C17" s="226"/>
      <c r="D17" s="226"/>
      <c r="E17" s="226"/>
      <c r="F17" s="226"/>
      <c r="G17" s="226"/>
      <c r="H17" s="226"/>
    </row>
    <row r="18" spans="1:8">
      <c r="A18" s="227"/>
      <c r="B18" s="226"/>
      <c r="C18" s="226"/>
      <c r="D18" s="254"/>
      <c r="E18" s="226"/>
      <c r="F18" s="226"/>
      <c r="G18" s="226"/>
      <c r="H18" s="226"/>
    </row>
    <row r="19" spans="1:8">
      <c r="A19" s="226"/>
      <c r="B19" s="226"/>
      <c r="C19" s="226"/>
      <c r="D19" s="254"/>
      <c r="E19" s="226"/>
      <c r="F19" s="226"/>
      <c r="G19" s="226"/>
      <c r="H19" s="226"/>
    </row>
    <row r="20" spans="1:8">
      <c r="A20" s="226"/>
      <c r="B20" s="226"/>
      <c r="C20" s="226"/>
      <c r="D20" s="226"/>
      <c r="E20" s="226"/>
      <c r="F20" s="226"/>
      <c r="G20" s="226"/>
      <c r="H20" s="226"/>
    </row>
    <row r="21" spans="1:8">
      <c r="A21" s="226"/>
      <c r="B21" s="226"/>
      <c r="C21" s="226"/>
      <c r="D21" s="226"/>
      <c r="E21" s="226"/>
      <c r="F21" s="226"/>
      <c r="G21" s="226"/>
      <c r="H21" s="226"/>
    </row>
    <row r="22" spans="1:8">
      <c r="A22" s="226"/>
      <c r="B22" s="226"/>
      <c r="C22" s="226"/>
      <c r="D22" s="226"/>
      <c r="E22" s="226"/>
      <c r="F22" s="226"/>
      <c r="G22" s="226"/>
      <c r="H22" s="226"/>
    </row>
    <row r="23" spans="1:8">
      <c r="A23" s="226"/>
      <c r="B23" s="226"/>
      <c r="C23" s="226"/>
      <c r="D23" s="226"/>
      <c r="E23" s="226"/>
      <c r="F23" s="226"/>
      <c r="G23" s="226"/>
      <c r="H23" s="226"/>
    </row>
    <row r="24" spans="1:8">
      <c r="A24" s="226"/>
      <c r="B24" s="226"/>
      <c r="C24" s="226"/>
      <c r="D24" s="226"/>
      <c r="E24" s="226"/>
      <c r="F24" s="226"/>
      <c r="G24" s="226"/>
      <c r="H24" s="226"/>
    </row>
    <row r="25" spans="1:8">
      <c r="A25" s="226"/>
      <c r="B25" s="226"/>
      <c r="C25" s="226"/>
      <c r="D25" s="226"/>
      <c r="E25" s="226"/>
      <c r="F25" s="226"/>
      <c r="G25" s="226"/>
      <c r="H25" s="226"/>
    </row>
    <row r="26" spans="1:8">
      <c r="A26" s="226"/>
      <c r="B26" s="226"/>
      <c r="C26" s="226"/>
      <c r="D26" s="226"/>
      <c r="E26" s="226"/>
      <c r="F26" s="226"/>
      <c r="G26" s="226"/>
      <c r="H26" s="226"/>
    </row>
    <row r="27" spans="1:8">
      <c r="A27" s="226"/>
      <c r="B27" s="226"/>
      <c r="C27" s="226"/>
      <c r="D27" s="226"/>
      <c r="E27" s="226"/>
      <c r="F27" s="226"/>
      <c r="G27" s="226"/>
      <c r="H27" s="226"/>
    </row>
    <row r="28" spans="1:8">
      <c r="A28" s="226"/>
      <c r="B28" s="226"/>
      <c r="C28" s="226"/>
      <c r="D28" s="226"/>
      <c r="E28" s="226"/>
      <c r="F28" s="226"/>
      <c r="G28" s="226"/>
      <c r="H28" s="226"/>
    </row>
    <row r="29" spans="1:8" ht="15" customHeight="1">
      <c r="A29" s="226"/>
      <c r="B29" s="226"/>
      <c r="C29" s="226"/>
      <c r="D29" s="226"/>
      <c r="E29" s="226"/>
      <c r="F29" s="226"/>
      <c r="G29" s="226"/>
      <c r="H29" s="226"/>
    </row>
    <row r="30" spans="1:8">
      <c r="A30" s="226"/>
      <c r="B30" s="226"/>
      <c r="C30" s="226"/>
      <c r="D30" s="226"/>
      <c r="E30" s="226"/>
      <c r="F30" s="226"/>
      <c r="G30" s="226"/>
      <c r="H30" s="226"/>
    </row>
    <row r="31" spans="1:8">
      <c r="A31" s="226"/>
      <c r="B31" s="226"/>
      <c r="C31" s="226"/>
      <c r="D31" s="226"/>
      <c r="E31" s="226"/>
      <c r="F31" s="226"/>
      <c r="G31" s="226"/>
      <c r="H31" s="226"/>
    </row>
    <row r="32" spans="1:8">
      <c r="A32" s="226"/>
      <c r="B32" s="226"/>
      <c r="C32" s="226"/>
      <c r="D32" s="226"/>
      <c r="E32" s="226"/>
      <c r="F32" s="226"/>
      <c r="G32" s="226"/>
      <c r="H32" s="226"/>
    </row>
    <row r="33" spans="1:8">
      <c r="A33" s="226"/>
      <c r="B33" s="226"/>
      <c r="C33" s="226"/>
      <c r="D33" s="226"/>
      <c r="E33" s="226"/>
      <c r="F33" s="226"/>
      <c r="G33" s="226"/>
      <c r="H33" s="226"/>
    </row>
    <row r="34" spans="1:8">
      <c r="A34" s="226"/>
      <c r="B34" s="226"/>
      <c r="C34" s="226"/>
      <c r="D34" s="226"/>
      <c r="E34" s="226"/>
      <c r="F34" s="226"/>
      <c r="G34" s="226"/>
      <c r="H34" s="226"/>
    </row>
  </sheetData>
  <sheetProtection algorithmName="SHA-512" hashValue="WXKyogp58fGQsoe74GKOR1fn7YN+HrIpFjXXWC3RG9UmZA9mcjkWfFGAjJClCKQtjHhT6LuKL6FR62TynNUfjA==" saltValue="aHKI7LENrMbnXCPkDuG/1w==" spinCount="100000" sheet="1" objects="1" scenarios="1"/>
  <pageMargins left="0.511811024" right="0.511811024" top="0.78740157499999996" bottom="0.78740157499999996" header="0.31496062000000002" footer="0.31496062000000002"/>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U157"/>
  <sheetViews>
    <sheetView showGridLines="0" topLeftCell="A31" zoomScaleNormal="100" zoomScaleSheetLayoutView="55" workbookViewId="0"/>
  </sheetViews>
  <sheetFormatPr defaultColWidth="8.6640625" defaultRowHeight="15"/>
  <cols>
    <col min="1" max="1" width="10.109375" style="120" customWidth="1"/>
    <col min="2" max="2" width="71" style="229" customWidth="1"/>
    <col min="3" max="3" width="15.33203125" style="229" customWidth="1"/>
    <col min="4" max="4" width="16.6640625" style="5" customWidth="1"/>
    <col min="5" max="5" width="14.109375" style="229" customWidth="1"/>
    <col min="6" max="6" width="14.5546875" style="229" customWidth="1"/>
    <col min="7" max="7" width="23.109375" style="5" customWidth="1"/>
    <col min="8" max="8" width="29" style="229" bestFit="1" customWidth="1"/>
    <col min="9" max="9" width="14.6640625" style="129" bestFit="1" customWidth="1"/>
    <col min="10" max="99" width="8.6640625" style="129"/>
    <col min="100" max="16384" width="8.6640625" style="121"/>
  </cols>
  <sheetData>
    <row r="1" spans="1:99" s="168" customFormat="1" ht="22.5" customHeight="1">
      <c r="A1" s="164"/>
      <c r="B1" s="253"/>
      <c r="C1" s="253"/>
      <c r="D1" s="166"/>
      <c r="E1" s="253"/>
      <c r="F1" s="253"/>
      <c r="G1" s="166"/>
      <c r="H1" s="253"/>
      <c r="I1" s="167"/>
      <c r="J1" s="167"/>
      <c r="K1" s="167"/>
      <c r="L1" s="167"/>
      <c r="M1" s="167"/>
      <c r="N1" s="167"/>
      <c r="O1" s="167"/>
      <c r="P1" s="167"/>
      <c r="Q1" s="167"/>
      <c r="R1" s="167"/>
      <c r="S1" s="167"/>
      <c r="T1" s="167"/>
      <c r="U1" s="167"/>
      <c r="V1" s="167"/>
      <c r="W1" s="167"/>
      <c r="X1" s="167"/>
      <c r="Y1" s="167"/>
      <c r="Z1" s="167"/>
      <c r="AA1" s="167"/>
      <c r="AB1" s="167"/>
      <c r="AC1" s="167"/>
      <c r="AD1" s="167"/>
      <c r="AE1" s="167"/>
      <c r="AF1" s="167"/>
      <c r="AG1" s="167"/>
      <c r="AH1" s="167"/>
      <c r="AI1" s="167"/>
      <c r="AJ1" s="167"/>
      <c r="AK1" s="167"/>
      <c r="AL1" s="167"/>
      <c r="AM1" s="167"/>
      <c r="AN1" s="167"/>
      <c r="AO1" s="167"/>
      <c r="AP1" s="167"/>
      <c r="AQ1" s="167"/>
      <c r="AR1" s="167"/>
      <c r="AS1" s="167"/>
      <c r="AT1" s="167"/>
      <c r="AU1" s="167"/>
      <c r="AV1" s="167"/>
      <c r="AW1" s="167"/>
      <c r="AX1" s="167"/>
      <c r="AY1" s="167"/>
      <c r="AZ1" s="167"/>
      <c r="BA1" s="167"/>
      <c r="BB1" s="167"/>
      <c r="BC1" s="167"/>
      <c r="BD1" s="167"/>
      <c r="BE1" s="167"/>
      <c r="BF1" s="167"/>
      <c r="BG1" s="167"/>
      <c r="BH1" s="167"/>
      <c r="BI1" s="167"/>
      <c r="BJ1" s="167"/>
      <c r="BK1" s="167"/>
      <c r="BL1" s="167"/>
      <c r="BM1" s="167"/>
      <c r="BN1" s="167"/>
      <c r="BO1" s="167"/>
      <c r="BP1" s="167"/>
      <c r="BQ1" s="167"/>
      <c r="BR1" s="167"/>
      <c r="BS1" s="167"/>
      <c r="BT1" s="167"/>
      <c r="BU1" s="167"/>
      <c r="BV1" s="167"/>
      <c r="BW1" s="167"/>
      <c r="BX1" s="167"/>
      <c r="BY1" s="167"/>
      <c r="BZ1" s="167"/>
      <c r="CA1" s="167"/>
      <c r="CB1" s="167"/>
      <c r="CC1" s="167"/>
      <c r="CD1" s="167"/>
      <c r="CE1" s="167"/>
      <c r="CF1" s="167"/>
      <c r="CG1" s="167"/>
      <c r="CH1" s="167"/>
      <c r="CI1" s="167"/>
      <c r="CJ1" s="167"/>
      <c r="CK1" s="167"/>
      <c r="CL1" s="167"/>
      <c r="CM1" s="167"/>
      <c r="CN1" s="167"/>
      <c r="CO1" s="167"/>
      <c r="CP1" s="167"/>
      <c r="CQ1" s="167"/>
      <c r="CR1" s="167"/>
      <c r="CS1" s="167"/>
      <c r="CT1" s="167"/>
      <c r="CU1" s="167"/>
    </row>
    <row r="2" spans="1:99" s="118" customFormat="1" ht="17.399999999999999">
      <c r="B2" s="248"/>
      <c r="C2" s="248"/>
      <c r="D2" s="131"/>
      <c r="E2" s="248"/>
      <c r="F2" s="248"/>
      <c r="G2" s="131"/>
      <c r="H2" s="248"/>
      <c r="I2" s="151"/>
      <c r="J2" s="119"/>
      <c r="K2" s="119"/>
      <c r="L2" s="119"/>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c r="AS2" s="119"/>
      <c r="AT2" s="119"/>
      <c r="AU2" s="119"/>
      <c r="AV2" s="119"/>
      <c r="AW2" s="119"/>
      <c r="AX2" s="119"/>
      <c r="AY2" s="119"/>
      <c r="AZ2" s="119"/>
      <c r="BA2" s="119"/>
      <c r="BB2" s="119"/>
      <c r="BC2" s="119"/>
      <c r="BD2" s="119"/>
      <c r="BE2" s="119"/>
      <c r="BF2" s="119"/>
      <c r="BG2" s="119"/>
      <c r="BH2" s="119"/>
      <c r="BI2" s="119"/>
      <c r="BJ2" s="119"/>
      <c r="BK2" s="119"/>
      <c r="BL2" s="119"/>
      <c r="BM2" s="119"/>
      <c r="BN2" s="119"/>
      <c r="BO2" s="119"/>
      <c r="BP2" s="119"/>
      <c r="BQ2" s="119"/>
      <c r="BR2" s="119"/>
      <c r="BS2" s="119"/>
      <c r="BT2" s="119"/>
      <c r="BU2" s="119"/>
      <c r="BV2" s="119"/>
      <c r="BW2" s="119"/>
      <c r="BX2" s="119"/>
      <c r="BY2" s="119"/>
      <c r="BZ2" s="119"/>
      <c r="CA2" s="119"/>
      <c r="CB2" s="119"/>
      <c r="CC2" s="119"/>
      <c r="CD2" s="119"/>
      <c r="CE2" s="119"/>
      <c r="CF2" s="119"/>
      <c r="CG2" s="119"/>
      <c r="CH2" s="119"/>
      <c r="CI2" s="119"/>
      <c r="CJ2" s="119"/>
      <c r="CK2" s="119"/>
      <c r="CL2" s="119"/>
      <c r="CM2" s="119"/>
      <c r="CN2" s="119"/>
      <c r="CO2" s="119"/>
      <c r="CP2" s="119"/>
      <c r="CQ2" s="119"/>
      <c r="CR2" s="119"/>
      <c r="CS2" s="119"/>
      <c r="CT2" s="119"/>
      <c r="CU2" s="119"/>
    </row>
    <row r="3" spans="1:99" s="120" customFormat="1" ht="16.5" customHeight="1">
      <c r="A3" s="326" t="str">
        <f>'Relatorios por grupo de produto'!A96</f>
        <v xml:space="preserve">Resumo do orçamento referencial   - Anual </v>
      </c>
      <c r="B3" s="326"/>
      <c r="C3" s="326"/>
      <c r="D3" s="326"/>
      <c r="E3" s="326"/>
      <c r="F3" s="146"/>
      <c r="G3" s="3"/>
      <c r="H3" s="228"/>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129"/>
      <c r="AY3" s="129"/>
      <c r="AZ3" s="129"/>
      <c r="BA3" s="129"/>
      <c r="BB3" s="129"/>
      <c r="BC3" s="129"/>
      <c r="BD3" s="129"/>
      <c r="BE3" s="129"/>
      <c r="BF3" s="129"/>
      <c r="BG3" s="129"/>
      <c r="BH3" s="129"/>
      <c r="BI3" s="129"/>
      <c r="BJ3" s="129"/>
      <c r="BK3" s="129"/>
      <c r="BL3" s="129"/>
      <c r="BM3" s="129"/>
      <c r="BN3" s="129"/>
      <c r="BO3" s="129"/>
      <c r="BP3" s="129"/>
      <c r="BQ3" s="129"/>
      <c r="BR3" s="129"/>
      <c r="BS3" s="129"/>
      <c r="BT3" s="129"/>
      <c r="BU3" s="129"/>
      <c r="BV3" s="129"/>
      <c r="BW3" s="129"/>
      <c r="BX3" s="129"/>
      <c r="BY3" s="129"/>
      <c r="BZ3" s="129"/>
      <c r="CA3" s="129"/>
      <c r="CB3" s="129"/>
      <c r="CC3" s="129"/>
      <c r="CD3" s="129"/>
      <c r="CE3" s="129"/>
      <c r="CF3" s="129"/>
      <c r="CG3" s="129"/>
      <c r="CH3" s="129"/>
      <c r="CI3" s="129"/>
      <c r="CJ3" s="129"/>
      <c r="CK3" s="129"/>
      <c r="CL3" s="129"/>
      <c r="CM3" s="129"/>
      <c r="CN3" s="129"/>
      <c r="CO3" s="129"/>
      <c r="CP3" s="129"/>
      <c r="CQ3" s="129"/>
      <c r="CR3" s="129"/>
      <c r="CS3" s="129"/>
      <c r="CT3" s="129"/>
      <c r="CU3" s="129"/>
    </row>
    <row r="4" spans="1:99" s="120" customFormat="1" ht="15.75" customHeight="1">
      <c r="A4" s="325" t="str">
        <f>'Relatorios por grupo de produto'!A97</f>
        <v>Código</v>
      </c>
      <c r="B4" s="325" t="str">
        <f>'Relatorios por grupo de produto'!B97</f>
        <v>Descrição</v>
      </c>
      <c r="C4" s="325"/>
      <c r="D4" s="325" t="s">
        <v>313</v>
      </c>
      <c r="E4" s="320" t="s">
        <v>328</v>
      </c>
      <c r="F4" s="318"/>
      <c r="G4" s="3"/>
      <c r="H4" s="228"/>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129"/>
      <c r="BN4" s="129"/>
      <c r="BO4" s="129"/>
      <c r="BP4" s="129"/>
      <c r="BQ4" s="129"/>
      <c r="BR4" s="129"/>
      <c r="BS4" s="129"/>
      <c r="BT4" s="129"/>
      <c r="BU4" s="129"/>
      <c r="BV4" s="129"/>
      <c r="BW4" s="129"/>
      <c r="BX4" s="129"/>
      <c r="BY4" s="129"/>
      <c r="BZ4" s="129"/>
      <c r="CA4" s="129"/>
      <c r="CB4" s="129"/>
      <c r="CC4" s="129"/>
      <c r="CD4" s="129"/>
      <c r="CE4" s="129"/>
      <c r="CF4" s="129"/>
      <c r="CG4" s="129"/>
      <c r="CH4" s="129"/>
      <c r="CI4" s="129"/>
      <c r="CJ4" s="129"/>
      <c r="CK4" s="129"/>
      <c r="CL4" s="129"/>
      <c r="CM4" s="129"/>
      <c r="CN4" s="129"/>
      <c r="CO4" s="129"/>
      <c r="CP4" s="129"/>
      <c r="CQ4" s="129"/>
      <c r="CR4" s="129"/>
      <c r="CS4" s="129"/>
      <c r="CT4" s="129"/>
      <c r="CU4" s="129"/>
    </row>
    <row r="5" spans="1:99" s="120" customFormat="1">
      <c r="A5" s="325">
        <f>'Relatorios por grupo de produto'!A98</f>
        <v>0</v>
      </c>
      <c r="B5" s="325"/>
      <c r="C5" s="325"/>
      <c r="D5" s="325">
        <f>'Relatorios por grupo de produto'!D98</f>
        <v>0</v>
      </c>
      <c r="E5" s="319" t="str">
        <f>'Relatorios por grupo de produto'!F98</f>
        <v>Anual</v>
      </c>
      <c r="G5" s="3"/>
      <c r="H5" s="228"/>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c r="AS5" s="129"/>
      <c r="AT5" s="129"/>
      <c r="AU5" s="129"/>
      <c r="AV5" s="129"/>
      <c r="AW5" s="129"/>
      <c r="AX5" s="129"/>
      <c r="AY5" s="129"/>
      <c r="AZ5" s="129"/>
      <c r="BA5" s="129"/>
      <c r="BB5" s="129"/>
      <c r="BC5" s="129"/>
      <c r="BD5" s="129"/>
      <c r="BE5" s="129"/>
      <c r="BF5" s="129"/>
      <c r="BG5" s="129"/>
      <c r="BH5" s="129"/>
      <c r="BI5" s="129"/>
      <c r="BJ5" s="129"/>
      <c r="BK5" s="129"/>
      <c r="BL5" s="129"/>
      <c r="BM5" s="129"/>
      <c r="BN5" s="129"/>
      <c r="BO5" s="129"/>
      <c r="BP5" s="129"/>
      <c r="BQ5" s="129"/>
      <c r="BR5" s="129"/>
      <c r="BS5" s="129"/>
      <c r="BT5" s="129"/>
      <c r="BU5" s="129"/>
      <c r="BV5" s="129"/>
      <c r="BW5" s="129"/>
      <c r="BX5" s="129"/>
      <c r="BY5" s="129"/>
      <c r="BZ5" s="129"/>
      <c r="CA5" s="129"/>
      <c r="CB5" s="129"/>
      <c r="CC5" s="129"/>
      <c r="CD5" s="129"/>
      <c r="CE5" s="129"/>
      <c r="CF5" s="129"/>
      <c r="CG5" s="129"/>
      <c r="CH5" s="129"/>
      <c r="CI5" s="129"/>
      <c r="CJ5" s="129"/>
      <c r="CK5" s="129"/>
      <c r="CL5" s="129"/>
      <c r="CM5" s="129"/>
      <c r="CN5" s="129"/>
      <c r="CO5" s="129"/>
      <c r="CP5" s="129"/>
      <c r="CQ5" s="129"/>
      <c r="CR5" s="129"/>
      <c r="CS5" s="129"/>
      <c r="CT5" s="129"/>
      <c r="CU5" s="129"/>
    </row>
    <row r="6" spans="1:99" s="120" customFormat="1" ht="24" customHeight="1">
      <c r="A6" s="272" t="str">
        <f>'Relatorios por grupo de produto'!A99</f>
        <v xml:space="preserve"> A</v>
      </c>
      <c r="B6" s="327" t="str">
        <f>'Relatorios por grupo de produto'!B99</f>
        <v>ELABORAÇÃO DE DOCUMENTOS PARA AUDIÊNCIA PÚBLICA DOS PROJETOS DE CONCESSÃO E PRORROGAÇÕES ANTECIPADAS</v>
      </c>
      <c r="C6" s="328"/>
      <c r="D6" s="296">
        <v>4</v>
      </c>
      <c r="E6" s="274">
        <f>'Relatorios por grupo de produto'!F99</f>
        <v>2580549.9200117788</v>
      </c>
      <c r="G6" s="295"/>
      <c r="H6" s="228"/>
      <c r="I6" s="129"/>
      <c r="J6" s="129"/>
      <c r="K6" s="129"/>
      <c r="L6" s="129"/>
      <c r="M6" s="129"/>
      <c r="N6" s="129"/>
      <c r="O6" s="129"/>
      <c r="P6" s="129"/>
      <c r="Q6" s="129"/>
      <c r="R6" s="129"/>
      <c r="S6" s="129"/>
      <c r="T6" s="129"/>
      <c r="U6" s="129"/>
      <c r="V6" s="129"/>
      <c r="W6" s="129"/>
      <c r="X6" s="129"/>
      <c r="Y6" s="129"/>
      <c r="Z6" s="129"/>
      <c r="AA6" s="129"/>
      <c r="AB6" s="129"/>
      <c r="AC6" s="129"/>
      <c r="AD6" s="129"/>
      <c r="AE6" s="129"/>
      <c r="AF6" s="129"/>
      <c r="AG6" s="129"/>
      <c r="AH6" s="129"/>
      <c r="AI6" s="129"/>
      <c r="AJ6" s="129"/>
      <c r="AK6" s="129"/>
      <c r="AL6" s="129"/>
      <c r="AM6" s="129"/>
      <c r="AN6" s="129"/>
      <c r="AO6" s="129"/>
      <c r="AP6" s="129"/>
      <c r="AQ6" s="129"/>
      <c r="AR6" s="129"/>
      <c r="AS6" s="129"/>
      <c r="AT6" s="129"/>
      <c r="AU6" s="129"/>
      <c r="AV6" s="129"/>
      <c r="AW6" s="129"/>
      <c r="AX6" s="129"/>
      <c r="AY6" s="129"/>
      <c r="AZ6" s="129"/>
      <c r="BA6" s="129"/>
      <c r="BB6" s="129"/>
      <c r="BC6" s="129"/>
      <c r="BD6" s="129"/>
      <c r="BE6" s="129"/>
      <c r="BF6" s="129"/>
      <c r="BG6" s="129"/>
      <c r="BH6" s="129"/>
      <c r="BI6" s="129"/>
      <c r="BJ6" s="129"/>
      <c r="BK6" s="129"/>
      <c r="BL6" s="129"/>
      <c r="BM6" s="129"/>
      <c r="BN6" s="129"/>
      <c r="BO6" s="129"/>
      <c r="BP6" s="129"/>
      <c r="BQ6" s="129"/>
      <c r="BR6" s="129"/>
      <c r="BS6" s="129"/>
      <c r="BT6" s="129"/>
      <c r="BU6" s="129"/>
      <c r="BV6" s="129"/>
      <c r="BW6" s="129"/>
      <c r="BX6" s="129"/>
      <c r="BY6" s="129"/>
      <c r="BZ6" s="129"/>
      <c r="CA6" s="129"/>
      <c r="CB6" s="129"/>
      <c r="CC6" s="129"/>
      <c r="CD6" s="129"/>
      <c r="CE6" s="129"/>
      <c r="CF6" s="129"/>
      <c r="CG6" s="129"/>
      <c r="CH6" s="129"/>
      <c r="CI6" s="129"/>
      <c r="CJ6" s="129"/>
      <c r="CK6" s="129"/>
      <c r="CL6" s="129"/>
      <c r="CM6" s="129"/>
      <c r="CN6" s="129"/>
      <c r="CO6" s="129"/>
      <c r="CP6" s="129"/>
      <c r="CQ6" s="129"/>
      <c r="CR6" s="129"/>
      <c r="CS6" s="129"/>
      <c r="CT6" s="129"/>
      <c r="CU6" s="129"/>
    </row>
    <row r="7" spans="1:99" s="120" customFormat="1" ht="24" customHeight="1">
      <c r="A7" s="272" t="str">
        <f>'Relatorios por grupo de produto'!A100</f>
        <v>B</v>
      </c>
      <c r="B7" s="327" t="str">
        <f>'Relatorios por grupo de produto'!B100</f>
        <v>AJUSTES DE DOCUMENTOS APÓS AUDIÊNCIA PÚBLICA DOS PROJETOS DE CONCESSÃO E PRORROGAÇÕES ANTECIPADAS</v>
      </c>
      <c r="C7" s="328"/>
      <c r="D7" s="296">
        <v>10</v>
      </c>
      <c r="E7" s="274">
        <f>'Relatorios por grupo de produto'!F100</f>
        <v>2411569.1062993361</v>
      </c>
      <c r="G7" s="295"/>
      <c r="H7" s="228"/>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c r="AP7" s="129"/>
      <c r="AQ7" s="129"/>
      <c r="AR7" s="129"/>
      <c r="AS7" s="129"/>
      <c r="AT7" s="129"/>
      <c r="AU7" s="129"/>
      <c r="AV7" s="129"/>
      <c r="AW7" s="129"/>
      <c r="AX7" s="129"/>
      <c r="AY7" s="129"/>
      <c r="AZ7" s="129"/>
      <c r="BA7" s="129"/>
      <c r="BB7" s="129"/>
      <c r="BC7" s="129"/>
      <c r="BD7" s="129"/>
      <c r="BE7" s="129"/>
      <c r="BF7" s="129"/>
      <c r="BG7" s="129"/>
      <c r="BH7" s="129"/>
      <c r="BI7" s="129"/>
      <c r="BJ7" s="129"/>
      <c r="BK7" s="129"/>
      <c r="BL7" s="129"/>
      <c r="BM7" s="129"/>
      <c r="BN7" s="129"/>
      <c r="BO7" s="129"/>
      <c r="BP7" s="129"/>
      <c r="BQ7" s="129"/>
      <c r="BR7" s="129"/>
      <c r="BS7" s="129"/>
      <c r="BT7" s="129"/>
      <c r="BU7" s="129"/>
      <c r="BV7" s="129"/>
      <c r="BW7" s="129"/>
      <c r="BX7" s="129"/>
      <c r="BY7" s="129"/>
      <c r="BZ7" s="129"/>
      <c r="CA7" s="129"/>
      <c r="CB7" s="129"/>
      <c r="CC7" s="129"/>
      <c r="CD7" s="129"/>
      <c r="CE7" s="129"/>
      <c r="CF7" s="129"/>
      <c r="CG7" s="129"/>
      <c r="CH7" s="129"/>
      <c r="CI7" s="129"/>
      <c r="CJ7" s="129"/>
      <c r="CK7" s="129"/>
      <c r="CL7" s="129"/>
      <c r="CM7" s="129"/>
      <c r="CN7" s="129"/>
      <c r="CO7" s="129"/>
      <c r="CP7" s="129"/>
      <c r="CQ7" s="129"/>
      <c r="CR7" s="129"/>
      <c r="CS7" s="129"/>
      <c r="CT7" s="129"/>
      <c r="CU7" s="129"/>
    </row>
    <row r="8" spans="1:99" s="120" customFormat="1" ht="36" customHeight="1">
      <c r="A8" s="272" t="str">
        <f>'Relatorios por grupo de produto'!A101</f>
        <v>C</v>
      </c>
      <c r="B8" s="327" t="str">
        <f>'Relatorios por grupo de produto'!B101</f>
        <v>AJUSTES DE DOCUMENTOS DURANTE E APÓS ANÁLISE PELO TRIBUNAL DE CONTAS DA UNIÃO DOS PROJETOS DE CONCESSÃO E PRORROGAÇÕES ANTECIPADAS</v>
      </c>
      <c r="C8" s="328"/>
      <c r="D8" s="296">
        <v>5</v>
      </c>
      <c r="E8" s="274">
        <f>'Relatorios por grupo de produto'!F101</f>
        <v>1404699.0993475574</v>
      </c>
      <c r="G8" s="295"/>
      <c r="H8" s="228"/>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29"/>
      <c r="AV8" s="129"/>
      <c r="AW8" s="129"/>
      <c r="AX8" s="129"/>
      <c r="AY8" s="129"/>
      <c r="AZ8" s="129"/>
      <c r="BA8" s="129"/>
      <c r="BB8" s="129"/>
      <c r="BC8" s="129"/>
      <c r="BD8" s="129"/>
      <c r="BE8" s="129"/>
      <c r="BF8" s="129"/>
      <c r="BG8" s="129"/>
      <c r="BH8" s="129"/>
      <c r="BI8" s="129"/>
      <c r="BJ8" s="129"/>
      <c r="BK8" s="129"/>
      <c r="BL8" s="129"/>
      <c r="BM8" s="129"/>
      <c r="BN8" s="129"/>
      <c r="BO8" s="129"/>
      <c r="BP8" s="129"/>
      <c r="BQ8" s="129"/>
      <c r="BR8" s="129"/>
      <c r="BS8" s="129"/>
      <c r="BT8" s="129"/>
      <c r="BU8" s="129"/>
      <c r="BV8" s="129"/>
      <c r="BW8" s="129"/>
      <c r="BX8" s="129"/>
      <c r="BY8" s="129"/>
      <c r="BZ8" s="129"/>
      <c r="CA8" s="129"/>
      <c r="CB8" s="129"/>
      <c r="CC8" s="129"/>
      <c r="CD8" s="129"/>
      <c r="CE8" s="129"/>
      <c r="CF8" s="129"/>
      <c r="CG8" s="129"/>
      <c r="CH8" s="129"/>
      <c r="CI8" s="129"/>
      <c r="CJ8" s="129"/>
      <c r="CK8" s="129"/>
      <c r="CL8" s="129"/>
      <c r="CM8" s="129"/>
      <c r="CN8" s="129"/>
      <c r="CO8" s="129"/>
      <c r="CP8" s="129"/>
      <c r="CQ8" s="129"/>
      <c r="CR8" s="129"/>
      <c r="CS8" s="129"/>
      <c r="CT8" s="129"/>
      <c r="CU8" s="129"/>
    </row>
    <row r="9" spans="1:99" s="120" customFormat="1" ht="24" customHeight="1">
      <c r="A9" s="272" t="str">
        <f>'Relatorios por grupo de produto'!A102</f>
        <v>D</v>
      </c>
      <c r="B9" s="327" t="str">
        <f>'Relatorios por grupo de produto'!B102</f>
        <v>ELABORAÇÃO DE CRONOGRAMA PARA GESTÃO DE PROJETOS DE CONCESSÃO E PRORROGAÇÕES ANTECIPADAS</v>
      </c>
      <c r="C9" s="328"/>
      <c r="D9" s="296">
        <v>15</v>
      </c>
      <c r="E9" s="274">
        <f>'Relatorios por grupo de produto'!F102</f>
        <v>104039.71885689057</v>
      </c>
      <c r="G9" s="295"/>
      <c r="H9" s="228"/>
      <c r="I9" s="129"/>
      <c r="J9" s="129"/>
      <c r="K9" s="129"/>
      <c r="L9" s="129"/>
      <c r="M9" s="129"/>
      <c r="N9" s="129"/>
      <c r="O9" s="129"/>
      <c r="P9" s="129"/>
      <c r="Q9" s="129"/>
      <c r="R9" s="129"/>
      <c r="S9" s="129"/>
      <c r="T9" s="129"/>
      <c r="U9" s="129"/>
      <c r="V9" s="129"/>
      <c r="W9" s="129"/>
      <c r="X9" s="129"/>
      <c r="Y9" s="129"/>
      <c r="Z9" s="129"/>
      <c r="AA9" s="129"/>
      <c r="AB9" s="129"/>
      <c r="AC9" s="129"/>
      <c r="AD9" s="129"/>
      <c r="AE9" s="129"/>
      <c r="AF9" s="129"/>
      <c r="AG9" s="129"/>
      <c r="AH9" s="129"/>
      <c r="AI9" s="129"/>
      <c r="AJ9" s="129"/>
      <c r="AK9" s="129"/>
      <c r="AL9" s="129"/>
      <c r="AM9" s="129"/>
      <c r="AN9" s="129"/>
      <c r="AO9" s="129"/>
      <c r="AP9" s="129"/>
      <c r="AQ9" s="129"/>
      <c r="AR9" s="129"/>
      <c r="AS9" s="129"/>
      <c r="AT9" s="129"/>
      <c r="AU9" s="129"/>
      <c r="AV9" s="129"/>
      <c r="AW9" s="129"/>
      <c r="AX9" s="129"/>
      <c r="AY9" s="129"/>
      <c r="AZ9" s="129"/>
      <c r="BA9" s="129"/>
      <c r="BB9" s="129"/>
      <c r="BC9" s="129"/>
      <c r="BD9" s="129"/>
      <c r="BE9" s="129"/>
      <c r="BF9" s="129"/>
      <c r="BG9" s="129"/>
      <c r="BH9" s="129"/>
      <c r="BI9" s="129"/>
      <c r="BJ9" s="129"/>
      <c r="BK9" s="129"/>
      <c r="BL9" s="129"/>
      <c r="BM9" s="129"/>
      <c r="BN9" s="129"/>
      <c r="BO9" s="129"/>
      <c r="BP9" s="129"/>
      <c r="BQ9" s="129"/>
      <c r="BR9" s="129"/>
      <c r="BS9" s="129"/>
      <c r="BT9" s="129"/>
      <c r="BU9" s="129"/>
      <c r="BV9" s="129"/>
      <c r="BW9" s="129"/>
      <c r="BX9" s="129"/>
      <c r="BY9" s="129"/>
      <c r="BZ9" s="129"/>
      <c r="CA9" s="129"/>
      <c r="CB9" s="129"/>
      <c r="CC9" s="129"/>
      <c r="CD9" s="129"/>
      <c r="CE9" s="129"/>
      <c r="CF9" s="129"/>
      <c r="CG9" s="129"/>
      <c r="CH9" s="129"/>
      <c r="CI9" s="129"/>
      <c r="CJ9" s="129"/>
      <c r="CK9" s="129"/>
      <c r="CL9" s="129"/>
      <c r="CM9" s="129"/>
      <c r="CN9" s="129"/>
      <c r="CO9" s="129"/>
      <c r="CP9" s="129"/>
      <c r="CQ9" s="129"/>
      <c r="CR9" s="129"/>
      <c r="CS9" s="129"/>
      <c r="CT9" s="129"/>
      <c r="CU9" s="129"/>
    </row>
    <row r="10" spans="1:99" s="120" customFormat="1">
      <c r="A10" s="70"/>
      <c r="B10" s="329" t="str">
        <f>'Relatorios por grupo de produto'!E103</f>
        <v>Total:</v>
      </c>
      <c r="C10" s="330"/>
      <c r="D10" s="308">
        <f>SUM(D6:D9)</f>
        <v>34</v>
      </c>
      <c r="E10" s="276">
        <f>'Relatorios por grupo de produto'!F103</f>
        <v>6500857.8399999999</v>
      </c>
      <c r="G10" s="3"/>
      <c r="H10" s="228"/>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c r="AV10" s="129"/>
      <c r="AW10" s="129"/>
      <c r="AX10" s="129"/>
      <c r="AY10" s="129"/>
      <c r="AZ10" s="129"/>
      <c r="BA10" s="129"/>
      <c r="BB10" s="129"/>
      <c r="BC10" s="129"/>
      <c r="BD10" s="129"/>
      <c r="BE10" s="129"/>
      <c r="BF10" s="129"/>
      <c r="BG10" s="129"/>
      <c r="BH10" s="129"/>
      <c r="BI10" s="129"/>
      <c r="BJ10" s="129"/>
      <c r="BK10" s="129"/>
      <c r="BL10" s="129"/>
      <c r="BM10" s="129"/>
      <c r="BN10" s="129"/>
      <c r="BO10" s="129"/>
      <c r="BP10" s="129"/>
      <c r="BQ10" s="129"/>
      <c r="BR10" s="129"/>
      <c r="BS10" s="129"/>
      <c r="BT10" s="129"/>
      <c r="BU10" s="129"/>
      <c r="BV10" s="129"/>
      <c r="BW10" s="129"/>
      <c r="BX10" s="129"/>
      <c r="BY10" s="129"/>
      <c r="BZ10" s="129"/>
      <c r="CA10" s="129"/>
      <c r="CB10" s="129"/>
      <c r="CC10" s="129"/>
      <c r="CD10" s="129"/>
      <c r="CE10" s="129"/>
      <c r="CF10" s="129"/>
      <c r="CG10" s="129"/>
      <c r="CH10" s="129"/>
      <c r="CI10" s="129"/>
      <c r="CJ10" s="129"/>
      <c r="CK10" s="129"/>
      <c r="CL10" s="129"/>
      <c r="CM10" s="129"/>
      <c r="CN10" s="129"/>
      <c r="CO10" s="129"/>
      <c r="CP10" s="129"/>
      <c r="CQ10" s="129"/>
      <c r="CR10" s="129"/>
      <c r="CS10" s="129"/>
      <c r="CT10" s="129"/>
      <c r="CU10" s="129"/>
    </row>
    <row r="11" spans="1:99" s="120" customFormat="1">
      <c r="B11" s="228"/>
      <c r="C11" s="228"/>
      <c r="D11" s="3"/>
      <c r="E11" s="228"/>
      <c r="F11" s="228"/>
      <c r="G11" s="3"/>
      <c r="H11" s="228"/>
      <c r="I11" s="129"/>
      <c r="J11" s="129"/>
      <c r="K11" s="129"/>
      <c r="L11" s="129"/>
      <c r="M11" s="129"/>
      <c r="N11" s="129"/>
      <c r="O11" s="129"/>
      <c r="P11" s="129"/>
      <c r="Q11" s="129"/>
      <c r="R11" s="129"/>
      <c r="S11" s="129"/>
      <c r="T11" s="129"/>
      <c r="U11" s="129"/>
      <c r="V11" s="129"/>
      <c r="W11" s="129"/>
      <c r="X11" s="129"/>
      <c r="Y11" s="129"/>
      <c r="Z11" s="129"/>
      <c r="AA11" s="129"/>
      <c r="AB11" s="129"/>
      <c r="AC11" s="129"/>
      <c r="AD11" s="129"/>
      <c r="AE11" s="129"/>
      <c r="AF11" s="129"/>
      <c r="AG11" s="129"/>
      <c r="AH11" s="129"/>
      <c r="AI11" s="129"/>
      <c r="AJ11" s="129"/>
      <c r="AK11" s="129"/>
      <c r="AL11" s="129"/>
      <c r="AM11" s="129"/>
      <c r="AN11" s="129"/>
      <c r="AO11" s="129"/>
      <c r="AP11" s="129"/>
      <c r="AQ11" s="129"/>
      <c r="AR11" s="129"/>
      <c r="AS11" s="129"/>
      <c r="AT11" s="129"/>
      <c r="AU11" s="129"/>
      <c r="AV11" s="129"/>
      <c r="AW11" s="129"/>
      <c r="AX11" s="129"/>
      <c r="AY11" s="129"/>
      <c r="AZ11" s="129"/>
      <c r="BA11" s="129"/>
      <c r="BB11" s="129"/>
      <c r="BC11" s="129"/>
      <c r="BD11" s="129"/>
      <c r="BE11" s="129"/>
      <c r="BF11" s="129"/>
      <c r="BG11" s="129"/>
      <c r="BH11" s="129"/>
      <c r="BI11" s="129"/>
      <c r="BJ11" s="129"/>
      <c r="BK11" s="129"/>
      <c r="BL11" s="129"/>
      <c r="BM11" s="129"/>
      <c r="BN11" s="129"/>
      <c r="BO11" s="129"/>
      <c r="BP11" s="129"/>
      <c r="BQ11" s="129"/>
      <c r="BR11" s="129"/>
      <c r="BS11" s="129"/>
      <c r="BT11" s="129"/>
      <c r="BU11" s="129"/>
      <c r="BV11" s="129"/>
      <c r="BW11" s="129"/>
      <c r="BX11" s="129"/>
      <c r="BY11" s="129"/>
      <c r="BZ11" s="129"/>
      <c r="CA11" s="129"/>
      <c r="CB11" s="129"/>
      <c r="CC11" s="129"/>
      <c r="CD11" s="129"/>
      <c r="CE11" s="129"/>
      <c r="CF11" s="129"/>
      <c r="CG11" s="129"/>
      <c r="CH11" s="129"/>
      <c r="CI11" s="129"/>
      <c r="CJ11" s="129"/>
      <c r="CK11" s="129"/>
      <c r="CL11" s="129"/>
      <c r="CM11" s="129"/>
      <c r="CN11" s="129"/>
      <c r="CO11" s="129"/>
      <c r="CP11" s="129"/>
      <c r="CQ11" s="129"/>
      <c r="CR11" s="129"/>
      <c r="CS11" s="129"/>
      <c r="CT11" s="129"/>
      <c r="CU11" s="129"/>
    </row>
    <row r="12" spans="1:99" s="120" customFormat="1">
      <c r="B12" s="228"/>
      <c r="C12" s="228"/>
      <c r="D12" s="3"/>
      <c r="E12" s="228"/>
      <c r="F12" s="228"/>
      <c r="G12" s="3"/>
      <c r="H12" s="228"/>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c r="AV12" s="129"/>
      <c r="AW12" s="129"/>
      <c r="AX12" s="129"/>
      <c r="AY12" s="129"/>
      <c r="AZ12" s="129"/>
      <c r="BA12" s="129"/>
      <c r="BB12" s="129"/>
      <c r="BC12" s="129"/>
      <c r="BD12" s="129"/>
      <c r="BE12" s="129"/>
      <c r="BF12" s="129"/>
      <c r="BG12" s="129"/>
      <c r="BH12" s="129"/>
      <c r="BI12" s="129"/>
      <c r="BJ12" s="129"/>
      <c r="BK12" s="129"/>
      <c r="BL12" s="129"/>
      <c r="BM12" s="129"/>
      <c r="BN12" s="129"/>
      <c r="BO12" s="129"/>
      <c r="BP12" s="129"/>
      <c r="BQ12" s="129"/>
      <c r="BR12" s="129"/>
      <c r="BS12" s="129"/>
      <c r="BT12" s="129"/>
      <c r="BU12" s="129"/>
      <c r="BV12" s="129"/>
      <c r="BW12" s="129"/>
      <c r="BX12" s="129"/>
      <c r="BY12" s="129"/>
      <c r="BZ12" s="129"/>
      <c r="CA12" s="129"/>
      <c r="CB12" s="129"/>
      <c r="CC12" s="129"/>
      <c r="CD12" s="129"/>
      <c r="CE12" s="129"/>
      <c r="CF12" s="129"/>
      <c r="CG12" s="129"/>
      <c r="CH12" s="129"/>
      <c r="CI12" s="129"/>
      <c r="CJ12" s="129"/>
      <c r="CK12" s="129"/>
      <c r="CL12" s="129"/>
      <c r="CM12" s="129"/>
      <c r="CN12" s="129"/>
      <c r="CO12" s="129"/>
      <c r="CP12" s="129"/>
      <c r="CQ12" s="129"/>
      <c r="CR12" s="129"/>
      <c r="CS12" s="129"/>
      <c r="CT12" s="129"/>
      <c r="CU12" s="129"/>
    </row>
    <row r="13" spans="1:99" s="120" customFormat="1">
      <c r="A13" s="298" t="s">
        <v>308</v>
      </c>
      <c r="B13" s="299"/>
      <c r="C13" s="299"/>
      <c r="D13" s="299"/>
      <c r="E13" s="299"/>
      <c r="F13" s="299"/>
      <c r="G13" s="3"/>
      <c r="H13" s="228"/>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29"/>
      <c r="AN13" s="129"/>
      <c r="AO13" s="129"/>
      <c r="AP13" s="129"/>
      <c r="AQ13" s="129"/>
      <c r="AR13" s="129"/>
      <c r="AS13" s="129"/>
      <c r="AT13" s="129"/>
      <c r="AU13" s="129"/>
      <c r="AV13" s="129"/>
      <c r="AW13" s="129"/>
      <c r="AX13" s="129"/>
      <c r="AY13" s="129"/>
      <c r="AZ13" s="129"/>
      <c r="BA13" s="129"/>
      <c r="BB13" s="129"/>
      <c r="BC13" s="129"/>
      <c r="BD13" s="129"/>
      <c r="BE13" s="129"/>
      <c r="BF13" s="129"/>
      <c r="BG13" s="129"/>
      <c r="BH13" s="129"/>
      <c r="BI13" s="129"/>
      <c r="BJ13" s="129"/>
      <c r="BK13" s="129"/>
      <c r="BL13" s="129"/>
      <c r="BM13" s="129"/>
      <c r="BN13" s="129"/>
      <c r="BO13" s="129"/>
      <c r="BP13" s="129"/>
      <c r="BQ13" s="129"/>
      <c r="BR13" s="129"/>
      <c r="BS13" s="129"/>
      <c r="BT13" s="129"/>
      <c r="BU13" s="129"/>
      <c r="BV13" s="129"/>
      <c r="BW13" s="129"/>
      <c r="BX13" s="129"/>
      <c r="BY13" s="129"/>
      <c r="BZ13" s="129"/>
      <c r="CA13" s="129"/>
      <c r="CB13" s="129"/>
      <c r="CC13" s="129"/>
      <c r="CD13" s="129"/>
      <c r="CE13" s="129"/>
      <c r="CF13" s="129"/>
      <c r="CG13" s="129"/>
      <c r="CH13" s="129"/>
      <c r="CI13" s="129"/>
      <c r="CJ13" s="129"/>
      <c r="CK13" s="129"/>
      <c r="CL13" s="129"/>
      <c r="CM13" s="129"/>
      <c r="CN13" s="129"/>
      <c r="CO13" s="129"/>
      <c r="CP13" s="129"/>
      <c r="CQ13" s="129"/>
      <c r="CR13" s="129"/>
      <c r="CS13" s="129"/>
      <c r="CT13" s="129"/>
      <c r="CU13" s="129"/>
    </row>
    <row r="14" spans="1:99" s="120" customFormat="1" ht="27.6">
      <c r="A14" s="309" t="s">
        <v>123</v>
      </c>
      <c r="B14" s="309" t="s">
        <v>317</v>
      </c>
      <c r="C14" s="310" t="s">
        <v>321</v>
      </c>
      <c r="D14" s="309" t="s">
        <v>7</v>
      </c>
      <c r="E14" s="311" t="s">
        <v>322</v>
      </c>
      <c r="F14" s="311" t="s">
        <v>323</v>
      </c>
      <c r="G14" s="3"/>
      <c r="H14" s="228"/>
      <c r="I14" s="129"/>
      <c r="J14" s="129"/>
      <c r="K14" s="129"/>
      <c r="L14" s="129"/>
      <c r="M14" s="129"/>
      <c r="N14" s="129"/>
      <c r="O14" s="129"/>
      <c r="P14" s="129"/>
      <c r="Q14" s="129"/>
      <c r="R14" s="129"/>
      <c r="S14" s="129"/>
      <c r="T14" s="129"/>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c r="AV14" s="129"/>
      <c r="AW14" s="129"/>
      <c r="AX14" s="129"/>
      <c r="AY14" s="129"/>
      <c r="AZ14" s="129"/>
      <c r="BA14" s="129"/>
      <c r="BB14" s="129"/>
      <c r="BC14" s="129"/>
      <c r="BD14" s="129"/>
      <c r="BE14" s="129"/>
      <c r="BF14" s="129"/>
      <c r="BG14" s="129"/>
      <c r="BH14" s="129"/>
      <c r="BI14" s="129"/>
      <c r="BJ14" s="129"/>
      <c r="BK14" s="129"/>
      <c r="BL14" s="129"/>
      <c r="BM14" s="129"/>
      <c r="BN14" s="129"/>
      <c r="BO14" s="129"/>
      <c r="BP14" s="129"/>
      <c r="BQ14" s="129"/>
      <c r="BR14" s="129"/>
      <c r="BS14" s="129"/>
      <c r="BT14" s="129"/>
      <c r="BU14" s="129"/>
      <c r="BV14" s="129"/>
      <c r="BW14" s="129"/>
      <c r="BX14" s="129"/>
      <c r="BY14" s="129"/>
      <c r="BZ14" s="129"/>
      <c r="CA14" s="129"/>
      <c r="CB14" s="129"/>
      <c r="CC14" s="129"/>
      <c r="CD14" s="129"/>
      <c r="CE14" s="129"/>
      <c r="CF14" s="129"/>
      <c r="CG14" s="129"/>
      <c r="CH14" s="129"/>
      <c r="CI14" s="129"/>
      <c r="CJ14" s="129"/>
      <c r="CK14" s="129"/>
      <c r="CL14" s="129"/>
      <c r="CM14" s="129"/>
      <c r="CN14" s="129"/>
      <c r="CO14" s="129"/>
      <c r="CP14" s="129"/>
      <c r="CQ14" s="129"/>
      <c r="CR14" s="129"/>
      <c r="CS14" s="129"/>
      <c r="CT14" s="129"/>
      <c r="CU14" s="129"/>
    </row>
    <row r="15" spans="1:99" s="120" customFormat="1" ht="23.4">
      <c r="A15" s="303">
        <v>1</v>
      </c>
      <c r="B15" s="300" t="s">
        <v>275</v>
      </c>
      <c r="C15" s="312" t="s">
        <v>324</v>
      </c>
      <c r="D15" s="303">
        <v>1</v>
      </c>
      <c r="E15" s="305">
        <f>VLOOKUP(G15,'Produtos Grupo A'!$A:$F,6,0)*12</f>
        <v>645137.48000294471</v>
      </c>
      <c r="F15" s="305">
        <f>E15*D15</f>
        <v>645137.48000294471</v>
      </c>
      <c r="G15" s="304" t="str">
        <f>"valor mês produto "&amp;A15</f>
        <v>valor mês produto 1</v>
      </c>
      <c r="H15" s="228"/>
      <c r="I15" s="129"/>
      <c r="J15" s="129"/>
      <c r="K15" s="129"/>
      <c r="L15" s="129"/>
      <c r="M15" s="129"/>
      <c r="N15" s="129"/>
      <c r="O15" s="129"/>
      <c r="P15" s="129"/>
      <c r="Q15" s="129"/>
      <c r="R15" s="129"/>
      <c r="S15" s="129"/>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c r="AV15" s="129"/>
      <c r="AW15" s="129"/>
      <c r="AX15" s="129"/>
      <c r="AY15" s="129"/>
      <c r="AZ15" s="129"/>
      <c r="BA15" s="129"/>
      <c r="BB15" s="129"/>
      <c r="BC15" s="129"/>
      <c r="BD15" s="129"/>
      <c r="BE15" s="129"/>
      <c r="BF15" s="129"/>
      <c r="BG15" s="129"/>
      <c r="BH15" s="129"/>
      <c r="BI15" s="129"/>
      <c r="BJ15" s="129"/>
      <c r="BK15" s="129"/>
      <c r="BL15" s="129"/>
      <c r="BM15" s="129"/>
      <c r="BN15" s="129"/>
      <c r="BO15" s="129"/>
      <c r="BP15" s="129"/>
      <c r="BQ15" s="129"/>
      <c r="BR15" s="129"/>
      <c r="BS15" s="129"/>
      <c r="BT15" s="129"/>
      <c r="BU15" s="129"/>
      <c r="BV15" s="129"/>
      <c r="BW15" s="129"/>
      <c r="BX15" s="129"/>
      <c r="BY15" s="129"/>
      <c r="BZ15" s="129"/>
      <c r="CA15" s="129"/>
      <c r="CB15" s="129"/>
      <c r="CC15" s="129"/>
      <c r="CD15" s="129"/>
      <c r="CE15" s="129"/>
      <c r="CF15" s="129"/>
      <c r="CG15" s="129"/>
      <c r="CH15" s="129"/>
      <c r="CI15" s="129"/>
      <c r="CJ15" s="129"/>
      <c r="CK15" s="129"/>
      <c r="CL15" s="129"/>
      <c r="CM15" s="129"/>
      <c r="CN15" s="129"/>
      <c r="CO15" s="129"/>
      <c r="CP15" s="129"/>
      <c r="CQ15" s="129"/>
      <c r="CR15" s="129"/>
      <c r="CS15" s="129"/>
      <c r="CT15" s="129"/>
      <c r="CU15" s="129"/>
    </row>
    <row r="16" spans="1:99" s="120" customFormat="1" ht="23.4">
      <c r="A16" s="303">
        <v>2</v>
      </c>
      <c r="B16" s="300" t="s">
        <v>276</v>
      </c>
      <c r="C16" s="312" t="s">
        <v>324</v>
      </c>
      <c r="D16" s="303">
        <v>1</v>
      </c>
      <c r="E16" s="305">
        <f>VLOOKUP(G16,'Produtos Grupo A'!$A:$F,6,0)*12</f>
        <v>645137.48000294471</v>
      </c>
      <c r="F16" s="305">
        <f t="shared" ref="F16:F18" si="0">E16*D16</f>
        <v>645137.48000294471</v>
      </c>
      <c r="G16" s="304" t="str">
        <f t="shared" ref="G16:G18" si="1">"valor mês produto "&amp;A16</f>
        <v>valor mês produto 2</v>
      </c>
      <c r="H16" s="228"/>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129"/>
      <c r="AS16" s="129"/>
      <c r="AT16" s="129"/>
      <c r="AU16" s="129"/>
      <c r="AV16" s="129"/>
      <c r="AW16" s="129"/>
      <c r="AX16" s="129"/>
      <c r="AY16" s="129"/>
      <c r="AZ16" s="129"/>
      <c r="BA16" s="129"/>
      <c r="BB16" s="129"/>
      <c r="BC16" s="129"/>
      <c r="BD16" s="129"/>
      <c r="BE16" s="129"/>
      <c r="BF16" s="129"/>
      <c r="BG16" s="129"/>
      <c r="BH16" s="129"/>
      <c r="BI16" s="129"/>
      <c r="BJ16" s="129"/>
      <c r="BK16" s="129"/>
      <c r="BL16" s="129"/>
      <c r="BM16" s="129"/>
      <c r="BN16" s="129"/>
      <c r="BO16" s="129"/>
      <c r="BP16" s="129"/>
      <c r="BQ16" s="129"/>
      <c r="BR16" s="129"/>
      <c r="BS16" s="129"/>
      <c r="BT16" s="129"/>
      <c r="BU16" s="129"/>
      <c r="BV16" s="129"/>
      <c r="BW16" s="129"/>
      <c r="BX16" s="129"/>
      <c r="BY16" s="129"/>
      <c r="BZ16" s="129"/>
      <c r="CA16" s="129"/>
      <c r="CB16" s="129"/>
      <c r="CC16" s="129"/>
      <c r="CD16" s="129"/>
      <c r="CE16" s="129"/>
      <c r="CF16" s="129"/>
      <c r="CG16" s="129"/>
      <c r="CH16" s="129"/>
      <c r="CI16" s="129"/>
      <c r="CJ16" s="129"/>
      <c r="CK16" s="129"/>
      <c r="CL16" s="129"/>
      <c r="CM16" s="129"/>
      <c r="CN16" s="129"/>
      <c r="CO16" s="129"/>
      <c r="CP16" s="129"/>
      <c r="CQ16" s="129"/>
      <c r="CR16" s="129"/>
      <c r="CS16" s="129"/>
      <c r="CT16" s="129"/>
      <c r="CU16" s="129"/>
    </row>
    <row r="17" spans="1:99" s="120" customFormat="1" ht="23.4">
      <c r="A17" s="303">
        <v>3</v>
      </c>
      <c r="B17" s="300" t="s">
        <v>277</v>
      </c>
      <c r="C17" s="312" t="s">
        <v>324</v>
      </c>
      <c r="D17" s="303">
        <v>1</v>
      </c>
      <c r="E17" s="305">
        <f>VLOOKUP(G17,'Produtos Grupo A'!$A:$F,6,0)*12</f>
        <v>645137.48000294471</v>
      </c>
      <c r="F17" s="305">
        <f t="shared" si="0"/>
        <v>645137.48000294471</v>
      </c>
      <c r="G17" s="304" t="str">
        <f t="shared" si="1"/>
        <v>valor mês produto 3</v>
      </c>
      <c r="H17" s="228"/>
      <c r="I17" s="129"/>
      <c r="J17" s="129"/>
      <c r="K17" s="129"/>
      <c r="L17" s="129"/>
      <c r="M17" s="129"/>
      <c r="N17" s="129"/>
      <c r="O17" s="129"/>
      <c r="P17" s="129"/>
      <c r="Q17" s="129"/>
      <c r="R17" s="129"/>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c r="AV17" s="129"/>
      <c r="AW17" s="129"/>
      <c r="AX17" s="129"/>
      <c r="AY17" s="129"/>
      <c r="AZ17" s="129"/>
      <c r="BA17" s="129"/>
      <c r="BB17" s="129"/>
      <c r="BC17" s="129"/>
      <c r="BD17" s="129"/>
      <c r="BE17" s="129"/>
      <c r="BF17" s="129"/>
      <c r="BG17" s="129"/>
      <c r="BH17" s="129"/>
      <c r="BI17" s="129"/>
      <c r="BJ17" s="129"/>
      <c r="BK17" s="129"/>
      <c r="BL17" s="129"/>
      <c r="BM17" s="129"/>
      <c r="BN17" s="129"/>
      <c r="BO17" s="129"/>
      <c r="BP17" s="129"/>
      <c r="BQ17" s="129"/>
      <c r="BR17" s="129"/>
      <c r="BS17" s="129"/>
      <c r="BT17" s="129"/>
      <c r="BU17" s="129"/>
      <c r="BV17" s="129"/>
      <c r="BW17" s="129"/>
      <c r="BX17" s="129"/>
      <c r="BY17" s="129"/>
      <c r="BZ17" s="129"/>
      <c r="CA17" s="129"/>
      <c r="CB17" s="129"/>
      <c r="CC17" s="129"/>
      <c r="CD17" s="129"/>
      <c r="CE17" s="129"/>
      <c r="CF17" s="129"/>
      <c r="CG17" s="129"/>
      <c r="CH17" s="129"/>
      <c r="CI17" s="129"/>
      <c r="CJ17" s="129"/>
      <c r="CK17" s="129"/>
      <c r="CL17" s="129"/>
      <c r="CM17" s="129"/>
      <c r="CN17" s="129"/>
      <c r="CO17" s="129"/>
      <c r="CP17" s="129"/>
      <c r="CQ17" s="129"/>
      <c r="CR17" s="129"/>
      <c r="CS17" s="129"/>
      <c r="CT17" s="129"/>
      <c r="CU17" s="129"/>
    </row>
    <row r="18" spans="1:99" s="120" customFormat="1" ht="23.4">
      <c r="A18" s="303">
        <v>4</v>
      </c>
      <c r="B18" s="300" t="s">
        <v>278</v>
      </c>
      <c r="C18" s="312" t="s">
        <v>324</v>
      </c>
      <c r="D18" s="303">
        <v>1</v>
      </c>
      <c r="E18" s="305">
        <f>VLOOKUP(G18,'Produtos Grupo A'!$A:$F,6,0)*12</f>
        <v>645137.48000294471</v>
      </c>
      <c r="F18" s="305">
        <f t="shared" si="0"/>
        <v>645137.48000294471</v>
      </c>
      <c r="G18" s="304" t="str">
        <f t="shared" si="1"/>
        <v>valor mês produto 4</v>
      </c>
      <c r="H18" s="228"/>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c r="AT18" s="129"/>
      <c r="AU18" s="129"/>
      <c r="AV18" s="129"/>
      <c r="AW18" s="129"/>
      <c r="AX18" s="129"/>
      <c r="AY18" s="129"/>
      <c r="AZ18" s="129"/>
      <c r="BA18" s="129"/>
      <c r="BB18" s="129"/>
      <c r="BC18" s="129"/>
      <c r="BD18" s="129"/>
      <c r="BE18" s="129"/>
      <c r="BF18" s="129"/>
      <c r="BG18" s="129"/>
      <c r="BH18" s="129"/>
      <c r="BI18" s="129"/>
      <c r="BJ18" s="129"/>
      <c r="BK18" s="129"/>
      <c r="BL18" s="129"/>
      <c r="BM18" s="129"/>
      <c r="BN18" s="129"/>
      <c r="BO18" s="129"/>
      <c r="BP18" s="129"/>
      <c r="BQ18" s="129"/>
      <c r="BR18" s="129"/>
      <c r="BS18" s="129"/>
      <c r="BT18" s="129"/>
      <c r="BU18" s="129"/>
      <c r="BV18" s="129"/>
      <c r="BW18" s="129"/>
      <c r="BX18" s="129"/>
      <c r="BY18" s="129"/>
      <c r="BZ18" s="129"/>
      <c r="CA18" s="129"/>
      <c r="CB18" s="129"/>
      <c r="CC18" s="129"/>
      <c r="CD18" s="129"/>
      <c r="CE18" s="129"/>
      <c r="CF18" s="129"/>
      <c r="CG18" s="129"/>
      <c r="CH18" s="129"/>
      <c r="CI18" s="129"/>
      <c r="CJ18" s="129"/>
      <c r="CK18" s="129"/>
      <c r="CL18" s="129"/>
      <c r="CM18" s="129"/>
      <c r="CN18" s="129"/>
      <c r="CO18" s="129"/>
      <c r="CP18" s="129"/>
      <c r="CQ18" s="129"/>
      <c r="CR18" s="129"/>
      <c r="CS18" s="129"/>
      <c r="CT18" s="129"/>
      <c r="CU18" s="129"/>
    </row>
    <row r="19" spans="1:99" s="120" customFormat="1" ht="18" customHeight="1">
      <c r="B19" s="228"/>
      <c r="C19" s="228"/>
      <c r="D19" s="3"/>
      <c r="E19" s="228"/>
      <c r="F19" s="306">
        <f>SUM(F15:F18)</f>
        <v>2580549.9200117788</v>
      </c>
      <c r="G19" s="3"/>
      <c r="H19" s="228"/>
      <c r="I19" s="129"/>
      <c r="J19" s="129"/>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H19" s="129"/>
      <c r="AI19" s="129"/>
      <c r="AJ19" s="129"/>
      <c r="AK19" s="129"/>
      <c r="AL19" s="129"/>
      <c r="AM19" s="129"/>
      <c r="AN19" s="129"/>
      <c r="AO19" s="129"/>
      <c r="AP19" s="129"/>
      <c r="AQ19" s="129"/>
      <c r="AR19" s="129"/>
      <c r="AS19" s="129"/>
      <c r="AT19" s="129"/>
      <c r="AU19" s="129"/>
      <c r="AV19" s="129"/>
      <c r="AW19" s="129"/>
      <c r="AX19" s="129"/>
      <c r="AY19" s="129"/>
      <c r="AZ19" s="129"/>
      <c r="BA19" s="129"/>
      <c r="BB19" s="129"/>
      <c r="BC19" s="129"/>
      <c r="BD19" s="129"/>
      <c r="BE19" s="129"/>
      <c r="BF19" s="129"/>
      <c r="BG19" s="129"/>
      <c r="BH19" s="129"/>
      <c r="BI19" s="129"/>
      <c r="BJ19" s="129"/>
      <c r="BK19" s="129"/>
      <c r="BL19" s="129"/>
      <c r="BM19" s="129"/>
      <c r="BN19" s="129"/>
      <c r="BO19" s="129"/>
      <c r="BP19" s="129"/>
      <c r="BQ19" s="129"/>
      <c r="BR19" s="129"/>
      <c r="BS19" s="129"/>
      <c r="BT19" s="129"/>
      <c r="BU19" s="129"/>
      <c r="BV19" s="129"/>
      <c r="BW19" s="129"/>
      <c r="BX19" s="129"/>
      <c r="BY19" s="129"/>
      <c r="BZ19" s="129"/>
      <c r="CA19" s="129"/>
      <c r="CB19" s="129"/>
      <c r="CC19" s="129"/>
      <c r="CD19" s="129"/>
      <c r="CE19" s="129"/>
      <c r="CF19" s="129"/>
      <c r="CG19" s="129"/>
      <c r="CH19" s="129"/>
      <c r="CI19" s="129"/>
      <c r="CJ19" s="129"/>
      <c r="CK19" s="129"/>
      <c r="CL19" s="129"/>
      <c r="CM19" s="129"/>
      <c r="CN19" s="129"/>
      <c r="CO19" s="129"/>
      <c r="CP19" s="129"/>
      <c r="CQ19" s="129"/>
      <c r="CR19" s="129"/>
      <c r="CS19" s="129"/>
      <c r="CT19" s="129"/>
      <c r="CU19" s="129"/>
    </row>
    <row r="20" spans="1:99" s="120" customFormat="1">
      <c r="B20" s="228"/>
      <c r="C20" s="228"/>
      <c r="D20" s="3"/>
      <c r="E20" s="228"/>
      <c r="F20" s="228"/>
      <c r="G20" s="3"/>
      <c r="H20" s="228"/>
      <c r="I20" s="129"/>
      <c r="J20" s="129"/>
      <c r="K20" s="129"/>
      <c r="L20" s="129"/>
      <c r="M20" s="129"/>
      <c r="N20" s="129"/>
      <c r="O20" s="129"/>
      <c r="P20" s="129"/>
      <c r="Q20" s="129"/>
      <c r="R20" s="129"/>
      <c r="S20" s="129"/>
      <c r="T20" s="129"/>
      <c r="U20" s="129"/>
      <c r="V20" s="129"/>
      <c r="W20" s="129"/>
      <c r="X20" s="129"/>
      <c r="Y20" s="129"/>
      <c r="Z20" s="129"/>
      <c r="AA20" s="129"/>
      <c r="AB20" s="129"/>
      <c r="AC20" s="129"/>
      <c r="AD20" s="129"/>
      <c r="AE20" s="129"/>
      <c r="AF20" s="129"/>
      <c r="AG20" s="129"/>
      <c r="AH20" s="129"/>
      <c r="AI20" s="129"/>
      <c r="AJ20" s="129"/>
      <c r="AK20" s="129"/>
      <c r="AL20" s="129"/>
      <c r="AM20" s="129"/>
      <c r="AN20" s="129"/>
      <c r="AO20" s="129"/>
      <c r="AP20" s="129"/>
      <c r="AQ20" s="129"/>
      <c r="AR20" s="129"/>
      <c r="AS20" s="129"/>
      <c r="AT20" s="129"/>
      <c r="AU20" s="129"/>
      <c r="AV20" s="129"/>
      <c r="AW20" s="129"/>
      <c r="AX20" s="129"/>
      <c r="AY20" s="129"/>
      <c r="AZ20" s="129"/>
      <c r="BA20" s="129"/>
      <c r="BB20" s="129"/>
      <c r="BC20" s="129"/>
      <c r="BD20" s="129"/>
      <c r="BE20" s="129"/>
      <c r="BF20" s="129"/>
      <c r="BG20" s="129"/>
      <c r="BH20" s="129"/>
      <c r="BI20" s="129"/>
      <c r="BJ20" s="129"/>
      <c r="BK20" s="129"/>
      <c r="BL20" s="129"/>
      <c r="BM20" s="129"/>
      <c r="BN20" s="129"/>
      <c r="BO20" s="129"/>
      <c r="BP20" s="129"/>
      <c r="BQ20" s="129"/>
      <c r="BR20" s="129"/>
      <c r="BS20" s="129"/>
      <c r="BT20" s="129"/>
      <c r="BU20" s="129"/>
      <c r="BV20" s="129"/>
      <c r="BW20" s="129"/>
      <c r="BX20" s="129"/>
      <c r="BY20" s="129"/>
      <c r="BZ20" s="129"/>
      <c r="CA20" s="129"/>
      <c r="CB20" s="129"/>
      <c r="CC20" s="129"/>
      <c r="CD20" s="129"/>
      <c r="CE20" s="129"/>
      <c r="CF20" s="129"/>
      <c r="CG20" s="129"/>
      <c r="CH20" s="129"/>
      <c r="CI20" s="129"/>
      <c r="CJ20" s="129"/>
      <c r="CK20" s="129"/>
      <c r="CL20" s="129"/>
      <c r="CM20" s="129"/>
      <c r="CN20" s="129"/>
      <c r="CO20" s="129"/>
      <c r="CP20" s="129"/>
      <c r="CQ20" s="129"/>
      <c r="CR20" s="129"/>
      <c r="CS20" s="129"/>
      <c r="CT20" s="129"/>
      <c r="CU20" s="129"/>
    </row>
    <row r="21" spans="1:99" s="120" customFormat="1">
      <c r="A21" s="298" t="s">
        <v>309</v>
      </c>
      <c r="B21" s="299"/>
      <c r="C21" s="299"/>
      <c r="D21" s="299"/>
      <c r="E21" s="299"/>
      <c r="F21" s="299"/>
      <c r="G21" s="3"/>
      <c r="H21" s="228"/>
      <c r="I21" s="129"/>
      <c r="J21" s="129"/>
      <c r="K21" s="129"/>
      <c r="L21" s="129"/>
      <c r="M21" s="129"/>
      <c r="N21" s="129"/>
      <c r="O21" s="129"/>
      <c r="P21" s="129"/>
      <c r="Q21" s="129"/>
      <c r="R21" s="129"/>
      <c r="S21" s="129"/>
      <c r="T21" s="129"/>
      <c r="U21" s="129"/>
      <c r="V21" s="129"/>
      <c r="W21" s="129"/>
      <c r="X21" s="129"/>
      <c r="Y21" s="129"/>
      <c r="Z21" s="129"/>
      <c r="AA21" s="129"/>
      <c r="AB21" s="129"/>
      <c r="AC21" s="129"/>
      <c r="AD21" s="129"/>
      <c r="AE21" s="129"/>
      <c r="AF21" s="129"/>
      <c r="AG21" s="129"/>
      <c r="AH21" s="129"/>
      <c r="AI21" s="129"/>
      <c r="AJ21" s="129"/>
      <c r="AK21" s="129"/>
      <c r="AL21" s="129"/>
      <c r="AM21" s="129"/>
      <c r="AN21" s="129"/>
      <c r="AO21" s="129"/>
      <c r="AP21" s="129"/>
      <c r="AQ21" s="129"/>
      <c r="AR21" s="129"/>
      <c r="AS21" s="129"/>
      <c r="AT21" s="129"/>
      <c r="AU21" s="129"/>
      <c r="AV21" s="129"/>
      <c r="AW21" s="129"/>
      <c r="AX21" s="129"/>
      <c r="AY21" s="129"/>
      <c r="AZ21" s="129"/>
      <c r="BA21" s="129"/>
      <c r="BB21" s="129"/>
      <c r="BC21" s="129"/>
      <c r="BD21" s="129"/>
      <c r="BE21" s="129"/>
      <c r="BF21" s="129"/>
      <c r="BG21" s="129"/>
      <c r="BH21" s="129"/>
      <c r="BI21" s="129"/>
      <c r="BJ21" s="129"/>
      <c r="BK21" s="129"/>
      <c r="BL21" s="129"/>
      <c r="BM21" s="129"/>
      <c r="BN21" s="129"/>
      <c r="BO21" s="129"/>
      <c r="BP21" s="129"/>
      <c r="BQ21" s="129"/>
      <c r="BR21" s="129"/>
      <c r="BS21" s="129"/>
      <c r="BT21" s="129"/>
      <c r="BU21" s="129"/>
      <c r="BV21" s="129"/>
      <c r="BW21" s="129"/>
      <c r="BX21" s="129"/>
      <c r="BY21" s="129"/>
      <c r="BZ21" s="129"/>
      <c r="CA21" s="129"/>
      <c r="CB21" s="129"/>
      <c r="CC21" s="129"/>
      <c r="CD21" s="129"/>
      <c r="CE21" s="129"/>
      <c r="CF21" s="129"/>
      <c r="CG21" s="129"/>
      <c r="CH21" s="129"/>
      <c r="CI21" s="129"/>
      <c r="CJ21" s="129"/>
      <c r="CK21" s="129"/>
      <c r="CL21" s="129"/>
      <c r="CM21" s="129"/>
      <c r="CN21" s="129"/>
      <c r="CO21" s="129"/>
      <c r="CP21" s="129"/>
      <c r="CQ21" s="129"/>
      <c r="CR21" s="129"/>
      <c r="CS21" s="129"/>
      <c r="CT21" s="129"/>
      <c r="CU21" s="129"/>
    </row>
    <row r="22" spans="1:99" s="120" customFormat="1" ht="27.6">
      <c r="A22" s="309" t="s">
        <v>123</v>
      </c>
      <c r="B22" s="309" t="s">
        <v>317</v>
      </c>
      <c r="C22" s="310" t="s">
        <v>321</v>
      </c>
      <c r="D22" s="309" t="s">
        <v>7</v>
      </c>
      <c r="E22" s="311" t="s">
        <v>322</v>
      </c>
      <c r="F22" s="311" t="s">
        <v>323</v>
      </c>
      <c r="G22" s="3"/>
      <c r="H22" s="228"/>
      <c r="I22" s="129"/>
      <c r="J22" s="129"/>
      <c r="K22" s="129"/>
      <c r="L22" s="129"/>
      <c r="M22" s="129"/>
      <c r="N22" s="129"/>
      <c r="O22" s="129"/>
      <c r="P22" s="129"/>
      <c r="Q22" s="129"/>
      <c r="R22" s="129"/>
      <c r="S22" s="129"/>
      <c r="T22" s="129"/>
      <c r="U22" s="129"/>
      <c r="V22" s="129"/>
      <c r="W22" s="129"/>
      <c r="X22" s="129"/>
      <c r="Y22" s="129"/>
      <c r="Z22" s="129"/>
      <c r="AA22" s="129"/>
      <c r="AB22" s="129"/>
      <c r="AC22" s="129"/>
      <c r="AD22" s="129"/>
      <c r="AE22" s="129"/>
      <c r="AF22" s="129"/>
      <c r="AG22" s="129"/>
      <c r="AH22" s="129"/>
      <c r="AI22" s="129"/>
      <c r="AJ22" s="129"/>
      <c r="AK22" s="129"/>
      <c r="AL22" s="129"/>
      <c r="AM22" s="129"/>
      <c r="AN22" s="129"/>
      <c r="AO22" s="129"/>
      <c r="AP22" s="129"/>
      <c r="AQ22" s="129"/>
      <c r="AR22" s="129"/>
      <c r="AS22" s="129"/>
      <c r="AT22" s="129"/>
      <c r="AU22" s="129"/>
      <c r="AV22" s="129"/>
      <c r="AW22" s="129"/>
      <c r="AX22" s="129"/>
      <c r="AY22" s="129"/>
      <c r="AZ22" s="129"/>
      <c r="BA22" s="129"/>
      <c r="BB22" s="129"/>
      <c r="BC22" s="129"/>
      <c r="BD22" s="129"/>
      <c r="BE22" s="129"/>
      <c r="BF22" s="129"/>
      <c r="BG22" s="129"/>
      <c r="BH22" s="129"/>
      <c r="BI22" s="129"/>
      <c r="BJ22" s="129"/>
      <c r="BK22" s="129"/>
      <c r="BL22" s="129"/>
      <c r="BM22" s="129"/>
      <c r="BN22" s="129"/>
      <c r="BO22" s="129"/>
      <c r="BP22" s="129"/>
      <c r="BQ22" s="129"/>
      <c r="BR22" s="129"/>
      <c r="BS22" s="129"/>
      <c r="BT22" s="129"/>
      <c r="BU22" s="129"/>
      <c r="BV22" s="129"/>
      <c r="BW22" s="129"/>
      <c r="BX22" s="129"/>
      <c r="BY22" s="129"/>
      <c r="BZ22" s="129"/>
      <c r="CA22" s="129"/>
      <c r="CB22" s="129"/>
      <c r="CC22" s="129"/>
      <c r="CD22" s="129"/>
      <c r="CE22" s="129"/>
      <c r="CF22" s="129"/>
      <c r="CG22" s="129"/>
      <c r="CH22" s="129"/>
      <c r="CI22" s="129"/>
      <c r="CJ22" s="129"/>
      <c r="CK22" s="129"/>
      <c r="CL22" s="129"/>
      <c r="CM22" s="129"/>
      <c r="CN22" s="129"/>
      <c r="CO22" s="129"/>
      <c r="CP22" s="129"/>
      <c r="CQ22" s="129"/>
      <c r="CR22" s="129"/>
      <c r="CS22" s="129"/>
      <c r="CT22" s="129"/>
      <c r="CU22" s="129"/>
    </row>
    <row r="23" spans="1:99" s="120" customFormat="1" ht="23.4">
      <c r="A23" s="303">
        <v>5</v>
      </c>
      <c r="B23" s="300" t="s">
        <v>280</v>
      </c>
      <c r="C23" s="312" t="s">
        <v>324</v>
      </c>
      <c r="D23" s="303">
        <v>1</v>
      </c>
      <c r="E23" s="305">
        <f>VLOOKUP(G23,'Produtos Grupo B'!A:F,6,0)*12</f>
        <v>241156.91062993358</v>
      </c>
      <c r="F23" s="305">
        <f>E23*D23</f>
        <v>241156.91062993358</v>
      </c>
      <c r="G23" s="304" t="str">
        <f t="shared" ref="G23:G32" si="2">"valor mês produto "&amp;A23</f>
        <v>valor mês produto 5</v>
      </c>
      <c r="H23" s="228"/>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29"/>
      <c r="AT23" s="129"/>
      <c r="AU23" s="129"/>
      <c r="AV23" s="129"/>
      <c r="AW23" s="129"/>
      <c r="AX23" s="129"/>
      <c r="AY23" s="129"/>
      <c r="AZ23" s="129"/>
      <c r="BA23" s="129"/>
      <c r="BB23" s="129"/>
      <c r="BC23" s="129"/>
      <c r="BD23" s="129"/>
      <c r="BE23" s="129"/>
      <c r="BF23" s="129"/>
      <c r="BG23" s="129"/>
      <c r="BH23" s="129"/>
      <c r="BI23" s="129"/>
      <c r="BJ23" s="129"/>
      <c r="BK23" s="129"/>
      <c r="BL23" s="129"/>
      <c r="BM23" s="129"/>
      <c r="BN23" s="129"/>
      <c r="BO23" s="129"/>
      <c r="BP23" s="129"/>
      <c r="BQ23" s="129"/>
      <c r="BR23" s="129"/>
      <c r="BS23" s="129"/>
      <c r="BT23" s="129"/>
      <c r="BU23" s="129"/>
      <c r="BV23" s="129"/>
      <c r="BW23" s="129"/>
      <c r="BX23" s="129"/>
      <c r="BY23" s="129"/>
      <c r="BZ23" s="129"/>
      <c r="CA23" s="129"/>
      <c r="CB23" s="129"/>
      <c r="CC23" s="129"/>
      <c r="CD23" s="129"/>
      <c r="CE23" s="129"/>
      <c r="CF23" s="129"/>
      <c r="CG23" s="129"/>
      <c r="CH23" s="129"/>
      <c r="CI23" s="129"/>
      <c r="CJ23" s="129"/>
      <c r="CK23" s="129"/>
      <c r="CL23" s="129"/>
      <c r="CM23" s="129"/>
      <c r="CN23" s="129"/>
      <c r="CO23" s="129"/>
      <c r="CP23" s="129"/>
      <c r="CQ23" s="129"/>
      <c r="CR23" s="129"/>
      <c r="CS23" s="129"/>
      <c r="CT23" s="129"/>
      <c r="CU23" s="129"/>
    </row>
    <row r="24" spans="1:99" s="120" customFormat="1" ht="23.4">
      <c r="A24" s="303">
        <v>6</v>
      </c>
      <c r="B24" s="300" t="s">
        <v>281</v>
      </c>
      <c r="C24" s="312" t="s">
        <v>324</v>
      </c>
      <c r="D24" s="303">
        <v>1</v>
      </c>
      <c r="E24" s="305">
        <f>VLOOKUP(G24,'Produtos Grupo B'!A:F,6,0)*12</f>
        <v>241156.91062993358</v>
      </c>
      <c r="F24" s="305">
        <f t="shared" ref="F24:F32" si="3">E24*D24</f>
        <v>241156.91062993358</v>
      </c>
      <c r="G24" s="304" t="str">
        <f t="shared" si="2"/>
        <v>valor mês produto 6</v>
      </c>
      <c r="H24" s="228"/>
      <c r="I24" s="129"/>
      <c r="J24" s="129"/>
      <c r="K24" s="129"/>
      <c r="L24" s="129"/>
      <c r="M24" s="129"/>
      <c r="N24" s="129"/>
      <c r="O24" s="129"/>
      <c r="P24" s="129"/>
      <c r="Q24" s="129"/>
      <c r="R24" s="129"/>
      <c r="S24" s="129"/>
      <c r="T24" s="129"/>
      <c r="U24" s="129"/>
      <c r="V24" s="129"/>
      <c r="W24" s="129"/>
      <c r="X24" s="129"/>
      <c r="Y24" s="129"/>
      <c r="Z24" s="129"/>
      <c r="AA24" s="129"/>
      <c r="AB24" s="129"/>
      <c r="AC24" s="129"/>
      <c r="AD24" s="129"/>
      <c r="AE24" s="129"/>
      <c r="AF24" s="129"/>
      <c r="AG24" s="129"/>
      <c r="AH24" s="129"/>
      <c r="AI24" s="129"/>
      <c r="AJ24" s="129"/>
      <c r="AK24" s="129"/>
      <c r="AL24" s="129"/>
      <c r="AM24" s="129"/>
      <c r="AN24" s="129"/>
      <c r="AO24" s="129"/>
      <c r="AP24" s="129"/>
      <c r="AQ24" s="129"/>
      <c r="AR24" s="129"/>
      <c r="AS24" s="129"/>
      <c r="AT24" s="129"/>
      <c r="AU24" s="129"/>
      <c r="AV24" s="129"/>
      <c r="AW24" s="129"/>
      <c r="AX24" s="129"/>
      <c r="AY24" s="129"/>
      <c r="AZ24" s="129"/>
      <c r="BA24" s="129"/>
      <c r="BB24" s="129"/>
      <c r="BC24" s="129"/>
      <c r="BD24" s="129"/>
      <c r="BE24" s="129"/>
      <c r="BF24" s="129"/>
      <c r="BG24" s="129"/>
      <c r="BH24" s="129"/>
      <c r="BI24" s="129"/>
      <c r="BJ24" s="129"/>
      <c r="BK24" s="129"/>
      <c r="BL24" s="129"/>
      <c r="BM24" s="129"/>
      <c r="BN24" s="129"/>
      <c r="BO24" s="129"/>
      <c r="BP24" s="129"/>
      <c r="BQ24" s="129"/>
      <c r="BR24" s="129"/>
      <c r="BS24" s="129"/>
      <c r="BT24" s="129"/>
      <c r="BU24" s="129"/>
      <c r="BV24" s="129"/>
      <c r="BW24" s="129"/>
      <c r="BX24" s="129"/>
      <c r="BY24" s="129"/>
      <c r="BZ24" s="129"/>
      <c r="CA24" s="129"/>
      <c r="CB24" s="129"/>
      <c r="CC24" s="129"/>
      <c r="CD24" s="129"/>
      <c r="CE24" s="129"/>
      <c r="CF24" s="129"/>
      <c r="CG24" s="129"/>
      <c r="CH24" s="129"/>
      <c r="CI24" s="129"/>
      <c r="CJ24" s="129"/>
      <c r="CK24" s="129"/>
      <c r="CL24" s="129"/>
      <c r="CM24" s="129"/>
      <c r="CN24" s="129"/>
      <c r="CO24" s="129"/>
      <c r="CP24" s="129"/>
      <c r="CQ24" s="129"/>
      <c r="CR24" s="129"/>
      <c r="CS24" s="129"/>
      <c r="CT24" s="129"/>
      <c r="CU24" s="129"/>
    </row>
    <row r="25" spans="1:99" s="120" customFormat="1" ht="23.4">
      <c r="A25" s="303">
        <v>7</v>
      </c>
      <c r="B25" s="300" t="s">
        <v>282</v>
      </c>
      <c r="C25" s="312" t="s">
        <v>324</v>
      </c>
      <c r="D25" s="303">
        <v>1</v>
      </c>
      <c r="E25" s="305">
        <f>VLOOKUP(G25,'Produtos Grupo B'!A:F,6,0)*12</f>
        <v>241156.91062993358</v>
      </c>
      <c r="F25" s="305">
        <f t="shared" si="3"/>
        <v>241156.91062993358</v>
      </c>
      <c r="G25" s="304" t="str">
        <f t="shared" si="2"/>
        <v>valor mês produto 7</v>
      </c>
      <c r="H25" s="228"/>
      <c r="I25" s="129"/>
      <c r="J25" s="129"/>
      <c r="K25" s="129"/>
      <c r="L25" s="129"/>
      <c r="M25" s="129"/>
      <c r="N25" s="129"/>
      <c r="O25" s="129"/>
      <c r="P25" s="129"/>
      <c r="Q25" s="129"/>
      <c r="R25" s="129"/>
      <c r="S25" s="129"/>
      <c r="T25" s="129"/>
      <c r="U25" s="129"/>
      <c r="V25" s="129"/>
      <c r="W25" s="129"/>
      <c r="X25" s="129"/>
      <c r="Y25" s="129"/>
      <c r="Z25" s="129"/>
      <c r="AA25" s="129"/>
      <c r="AB25" s="129"/>
      <c r="AC25" s="129"/>
      <c r="AD25" s="129"/>
      <c r="AE25" s="129"/>
      <c r="AF25" s="129"/>
      <c r="AG25" s="129"/>
      <c r="AH25" s="129"/>
      <c r="AI25" s="129"/>
      <c r="AJ25" s="129"/>
      <c r="AK25" s="129"/>
      <c r="AL25" s="129"/>
      <c r="AM25" s="129"/>
      <c r="AN25" s="129"/>
      <c r="AO25" s="129"/>
      <c r="AP25" s="129"/>
      <c r="AQ25" s="129"/>
      <c r="AR25" s="129"/>
      <c r="AS25" s="129"/>
      <c r="AT25" s="129"/>
      <c r="AU25" s="129"/>
      <c r="AV25" s="129"/>
      <c r="AW25" s="129"/>
      <c r="AX25" s="129"/>
      <c r="AY25" s="129"/>
      <c r="AZ25" s="129"/>
      <c r="BA25" s="129"/>
      <c r="BB25" s="129"/>
      <c r="BC25" s="129"/>
      <c r="BD25" s="129"/>
      <c r="BE25" s="129"/>
      <c r="BF25" s="129"/>
      <c r="BG25" s="129"/>
      <c r="BH25" s="129"/>
      <c r="BI25" s="129"/>
      <c r="BJ25" s="129"/>
      <c r="BK25" s="129"/>
      <c r="BL25" s="129"/>
      <c r="BM25" s="129"/>
      <c r="BN25" s="129"/>
      <c r="BO25" s="129"/>
      <c r="BP25" s="129"/>
      <c r="BQ25" s="129"/>
      <c r="BR25" s="129"/>
      <c r="BS25" s="129"/>
      <c r="BT25" s="129"/>
      <c r="BU25" s="129"/>
      <c r="BV25" s="129"/>
      <c r="BW25" s="129"/>
      <c r="BX25" s="129"/>
      <c r="BY25" s="129"/>
      <c r="BZ25" s="129"/>
      <c r="CA25" s="129"/>
      <c r="CB25" s="129"/>
      <c r="CC25" s="129"/>
      <c r="CD25" s="129"/>
      <c r="CE25" s="129"/>
      <c r="CF25" s="129"/>
      <c r="CG25" s="129"/>
      <c r="CH25" s="129"/>
      <c r="CI25" s="129"/>
      <c r="CJ25" s="129"/>
      <c r="CK25" s="129"/>
      <c r="CL25" s="129"/>
      <c r="CM25" s="129"/>
      <c r="CN25" s="129"/>
      <c r="CO25" s="129"/>
      <c r="CP25" s="129"/>
      <c r="CQ25" s="129"/>
      <c r="CR25" s="129"/>
      <c r="CS25" s="129"/>
      <c r="CT25" s="129"/>
      <c r="CU25" s="129"/>
    </row>
    <row r="26" spans="1:99" s="120" customFormat="1" ht="23.4">
      <c r="A26" s="303">
        <v>8</v>
      </c>
      <c r="B26" s="300" t="s">
        <v>275</v>
      </c>
      <c r="C26" s="312" t="s">
        <v>324</v>
      </c>
      <c r="D26" s="303">
        <v>1</v>
      </c>
      <c r="E26" s="305">
        <f>VLOOKUP(G26,'Produtos Grupo B'!A:F,6,0)*12</f>
        <v>241156.91062993358</v>
      </c>
      <c r="F26" s="305">
        <f t="shared" si="3"/>
        <v>241156.91062993358</v>
      </c>
      <c r="G26" s="304" t="str">
        <f t="shared" si="2"/>
        <v>valor mês produto 8</v>
      </c>
      <c r="H26" s="228"/>
      <c r="I26" s="129"/>
      <c r="J26" s="129"/>
      <c r="K26" s="129"/>
      <c r="L26" s="129"/>
      <c r="M26" s="129"/>
      <c r="N26" s="129"/>
      <c r="O26" s="129"/>
      <c r="P26" s="129"/>
      <c r="Q26" s="129"/>
      <c r="R26" s="129"/>
      <c r="S26" s="129"/>
      <c r="T26" s="129"/>
      <c r="U26" s="129"/>
      <c r="V26" s="129"/>
      <c r="W26" s="129"/>
      <c r="X26" s="129"/>
      <c r="Y26" s="129"/>
      <c r="Z26" s="129"/>
      <c r="AA26" s="129"/>
      <c r="AB26" s="129"/>
      <c r="AC26" s="129"/>
      <c r="AD26" s="129"/>
      <c r="AE26" s="129"/>
      <c r="AF26" s="129"/>
      <c r="AG26" s="129"/>
      <c r="AH26" s="129"/>
      <c r="AI26" s="129"/>
      <c r="AJ26" s="129"/>
      <c r="AK26" s="129"/>
      <c r="AL26" s="129"/>
      <c r="AM26" s="129"/>
      <c r="AN26" s="129"/>
      <c r="AO26" s="129"/>
      <c r="AP26" s="129"/>
      <c r="AQ26" s="129"/>
      <c r="AR26" s="129"/>
      <c r="AS26" s="129"/>
      <c r="AT26" s="129"/>
      <c r="AU26" s="129"/>
      <c r="AV26" s="129"/>
      <c r="AW26" s="129"/>
      <c r="AX26" s="129"/>
      <c r="AY26" s="129"/>
      <c r="AZ26" s="129"/>
      <c r="BA26" s="129"/>
      <c r="BB26" s="129"/>
      <c r="BC26" s="129"/>
      <c r="BD26" s="129"/>
      <c r="BE26" s="129"/>
      <c r="BF26" s="129"/>
      <c r="BG26" s="129"/>
      <c r="BH26" s="129"/>
      <c r="BI26" s="129"/>
      <c r="BJ26" s="129"/>
      <c r="BK26" s="129"/>
      <c r="BL26" s="129"/>
      <c r="BM26" s="129"/>
      <c r="BN26" s="129"/>
      <c r="BO26" s="129"/>
      <c r="BP26" s="129"/>
      <c r="BQ26" s="129"/>
      <c r="BR26" s="129"/>
      <c r="BS26" s="129"/>
      <c r="BT26" s="129"/>
      <c r="BU26" s="129"/>
      <c r="BV26" s="129"/>
      <c r="BW26" s="129"/>
      <c r="BX26" s="129"/>
      <c r="BY26" s="129"/>
      <c r="BZ26" s="129"/>
      <c r="CA26" s="129"/>
      <c r="CB26" s="129"/>
      <c r="CC26" s="129"/>
      <c r="CD26" s="129"/>
      <c r="CE26" s="129"/>
      <c r="CF26" s="129"/>
      <c r="CG26" s="129"/>
      <c r="CH26" s="129"/>
      <c r="CI26" s="129"/>
      <c r="CJ26" s="129"/>
      <c r="CK26" s="129"/>
      <c r="CL26" s="129"/>
      <c r="CM26" s="129"/>
      <c r="CN26" s="129"/>
      <c r="CO26" s="129"/>
      <c r="CP26" s="129"/>
      <c r="CQ26" s="129"/>
      <c r="CR26" s="129"/>
      <c r="CS26" s="129"/>
      <c r="CT26" s="129"/>
      <c r="CU26" s="129"/>
    </row>
    <row r="27" spans="1:99" s="120" customFormat="1" ht="23.4">
      <c r="A27" s="303">
        <v>9</v>
      </c>
      <c r="B27" s="300" t="s">
        <v>283</v>
      </c>
      <c r="C27" s="312" t="s">
        <v>324</v>
      </c>
      <c r="D27" s="303">
        <v>1</v>
      </c>
      <c r="E27" s="305">
        <f>VLOOKUP(G27,'Produtos Grupo B'!A:F,6,0)*12</f>
        <v>241156.91062993358</v>
      </c>
      <c r="F27" s="305">
        <f t="shared" si="3"/>
        <v>241156.91062993358</v>
      </c>
      <c r="G27" s="304" t="str">
        <f t="shared" si="2"/>
        <v>valor mês produto 9</v>
      </c>
      <c r="H27" s="228"/>
      <c r="I27" s="129"/>
      <c r="J27" s="129"/>
      <c r="K27" s="129"/>
      <c r="L27" s="129"/>
      <c r="M27" s="129"/>
      <c r="N27" s="129"/>
      <c r="O27" s="129"/>
      <c r="P27" s="129"/>
      <c r="Q27" s="129"/>
      <c r="R27" s="129"/>
      <c r="S27" s="129"/>
      <c r="T27" s="129"/>
      <c r="U27" s="129"/>
      <c r="V27" s="129"/>
      <c r="W27" s="129"/>
      <c r="X27" s="129"/>
      <c r="Y27" s="129"/>
      <c r="Z27" s="129"/>
      <c r="AA27" s="129"/>
      <c r="AB27" s="129"/>
      <c r="AC27" s="129"/>
      <c r="AD27" s="129"/>
      <c r="AE27" s="129"/>
      <c r="AF27" s="129"/>
      <c r="AG27" s="129"/>
      <c r="AH27" s="129"/>
      <c r="AI27" s="129"/>
      <c r="AJ27" s="129"/>
      <c r="AK27" s="129"/>
      <c r="AL27" s="129"/>
      <c r="AM27" s="129"/>
      <c r="AN27" s="129"/>
      <c r="AO27" s="129"/>
      <c r="AP27" s="129"/>
      <c r="AQ27" s="129"/>
      <c r="AR27" s="129"/>
      <c r="AS27" s="129"/>
      <c r="AT27" s="129"/>
      <c r="AU27" s="129"/>
      <c r="AV27" s="129"/>
      <c r="AW27" s="129"/>
      <c r="AX27" s="129"/>
      <c r="AY27" s="129"/>
      <c r="AZ27" s="129"/>
      <c r="BA27" s="129"/>
      <c r="BB27" s="129"/>
      <c r="BC27" s="129"/>
      <c r="BD27" s="129"/>
      <c r="BE27" s="129"/>
      <c r="BF27" s="129"/>
      <c r="BG27" s="129"/>
      <c r="BH27" s="129"/>
      <c r="BI27" s="129"/>
      <c r="BJ27" s="129"/>
      <c r="BK27" s="129"/>
      <c r="BL27" s="129"/>
      <c r="BM27" s="129"/>
      <c r="BN27" s="129"/>
      <c r="BO27" s="129"/>
      <c r="BP27" s="129"/>
      <c r="BQ27" s="129"/>
      <c r="BR27" s="129"/>
      <c r="BS27" s="129"/>
      <c r="BT27" s="129"/>
      <c r="BU27" s="129"/>
      <c r="BV27" s="129"/>
      <c r="BW27" s="129"/>
      <c r="BX27" s="129"/>
      <c r="BY27" s="129"/>
      <c r="BZ27" s="129"/>
      <c r="CA27" s="129"/>
      <c r="CB27" s="129"/>
      <c r="CC27" s="129"/>
      <c r="CD27" s="129"/>
      <c r="CE27" s="129"/>
      <c r="CF27" s="129"/>
      <c r="CG27" s="129"/>
      <c r="CH27" s="129"/>
      <c r="CI27" s="129"/>
      <c r="CJ27" s="129"/>
      <c r="CK27" s="129"/>
      <c r="CL27" s="129"/>
      <c r="CM27" s="129"/>
      <c r="CN27" s="129"/>
      <c r="CO27" s="129"/>
      <c r="CP27" s="129"/>
      <c r="CQ27" s="129"/>
      <c r="CR27" s="129"/>
      <c r="CS27" s="129"/>
      <c r="CT27" s="129"/>
      <c r="CU27" s="129"/>
    </row>
    <row r="28" spans="1:99" s="120" customFormat="1" ht="23.4">
      <c r="A28" s="303">
        <v>10</v>
      </c>
      <c r="B28" s="300" t="s">
        <v>284</v>
      </c>
      <c r="C28" s="312" t="s">
        <v>324</v>
      </c>
      <c r="D28" s="303">
        <v>1</v>
      </c>
      <c r="E28" s="305">
        <f>VLOOKUP(G28,'Produtos Grupo B'!A:F,6,0)*12</f>
        <v>241156.91062993358</v>
      </c>
      <c r="F28" s="305">
        <f t="shared" si="3"/>
        <v>241156.91062993358</v>
      </c>
      <c r="G28" s="304" t="str">
        <f t="shared" si="2"/>
        <v>valor mês produto 10</v>
      </c>
      <c r="H28" s="228"/>
      <c r="I28" s="129"/>
      <c r="J28" s="129"/>
      <c r="K28" s="129"/>
      <c r="L28" s="129"/>
      <c r="M28" s="129"/>
      <c r="N28" s="129"/>
      <c r="O28" s="129"/>
      <c r="P28" s="129"/>
      <c r="Q28" s="129"/>
      <c r="R28" s="129"/>
      <c r="S28" s="129"/>
      <c r="T28" s="129"/>
      <c r="U28" s="129"/>
      <c r="V28" s="129"/>
      <c r="W28" s="129"/>
      <c r="X28" s="129"/>
      <c r="Y28" s="129"/>
      <c r="Z28" s="129"/>
      <c r="AA28" s="129"/>
      <c r="AB28" s="129"/>
      <c r="AC28" s="129"/>
      <c r="AD28" s="129"/>
      <c r="AE28" s="129"/>
      <c r="AF28" s="129"/>
      <c r="AG28" s="129"/>
      <c r="AH28" s="129"/>
      <c r="AI28" s="129"/>
      <c r="AJ28" s="129"/>
      <c r="AK28" s="129"/>
      <c r="AL28" s="129"/>
      <c r="AM28" s="129"/>
      <c r="AN28" s="129"/>
      <c r="AO28" s="129"/>
      <c r="AP28" s="129"/>
      <c r="AQ28" s="129"/>
      <c r="AR28" s="129"/>
      <c r="AS28" s="129"/>
      <c r="AT28" s="129"/>
      <c r="AU28" s="129"/>
      <c r="AV28" s="129"/>
      <c r="AW28" s="129"/>
      <c r="AX28" s="129"/>
      <c r="AY28" s="129"/>
      <c r="AZ28" s="129"/>
      <c r="BA28" s="129"/>
      <c r="BB28" s="129"/>
      <c r="BC28" s="129"/>
      <c r="BD28" s="129"/>
      <c r="BE28" s="129"/>
      <c r="BF28" s="129"/>
      <c r="BG28" s="129"/>
      <c r="BH28" s="129"/>
      <c r="BI28" s="129"/>
      <c r="BJ28" s="129"/>
      <c r="BK28" s="129"/>
      <c r="BL28" s="129"/>
      <c r="BM28" s="129"/>
      <c r="BN28" s="129"/>
      <c r="BO28" s="129"/>
      <c r="BP28" s="129"/>
      <c r="BQ28" s="129"/>
      <c r="BR28" s="129"/>
      <c r="BS28" s="129"/>
      <c r="BT28" s="129"/>
      <c r="BU28" s="129"/>
      <c r="BV28" s="129"/>
      <c r="BW28" s="129"/>
      <c r="BX28" s="129"/>
      <c r="BY28" s="129"/>
      <c r="BZ28" s="129"/>
      <c r="CA28" s="129"/>
      <c r="CB28" s="129"/>
      <c r="CC28" s="129"/>
      <c r="CD28" s="129"/>
      <c r="CE28" s="129"/>
      <c r="CF28" s="129"/>
      <c r="CG28" s="129"/>
      <c r="CH28" s="129"/>
      <c r="CI28" s="129"/>
      <c r="CJ28" s="129"/>
      <c r="CK28" s="129"/>
      <c r="CL28" s="129"/>
      <c r="CM28" s="129"/>
      <c r="CN28" s="129"/>
      <c r="CO28" s="129"/>
      <c r="CP28" s="129"/>
      <c r="CQ28" s="129"/>
      <c r="CR28" s="129"/>
      <c r="CS28" s="129"/>
      <c r="CT28" s="129"/>
      <c r="CU28" s="129"/>
    </row>
    <row r="29" spans="1:99" s="120" customFormat="1" ht="23.4">
      <c r="A29" s="303">
        <v>11</v>
      </c>
      <c r="B29" s="300" t="s">
        <v>285</v>
      </c>
      <c r="C29" s="312" t="s">
        <v>324</v>
      </c>
      <c r="D29" s="303">
        <v>1</v>
      </c>
      <c r="E29" s="305">
        <f>VLOOKUP(G29,'Produtos Grupo B'!A:F,6,0)*12</f>
        <v>241156.91062993358</v>
      </c>
      <c r="F29" s="305">
        <f t="shared" si="3"/>
        <v>241156.91062993358</v>
      </c>
      <c r="G29" s="304" t="str">
        <f t="shared" si="2"/>
        <v>valor mês produto 11</v>
      </c>
      <c r="H29" s="228"/>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29"/>
      <c r="AR29" s="129"/>
      <c r="AS29" s="129"/>
      <c r="AT29" s="129"/>
      <c r="AU29" s="129"/>
      <c r="AV29" s="129"/>
      <c r="AW29" s="129"/>
      <c r="AX29" s="129"/>
      <c r="AY29" s="129"/>
      <c r="AZ29" s="129"/>
      <c r="BA29" s="129"/>
      <c r="BB29" s="129"/>
      <c r="BC29" s="129"/>
      <c r="BD29" s="129"/>
      <c r="BE29" s="129"/>
      <c r="BF29" s="129"/>
      <c r="BG29" s="129"/>
      <c r="BH29" s="129"/>
      <c r="BI29" s="129"/>
      <c r="BJ29" s="129"/>
      <c r="BK29" s="129"/>
      <c r="BL29" s="129"/>
      <c r="BM29" s="129"/>
      <c r="BN29" s="129"/>
      <c r="BO29" s="129"/>
      <c r="BP29" s="129"/>
      <c r="BQ29" s="129"/>
      <c r="BR29" s="129"/>
      <c r="BS29" s="129"/>
      <c r="BT29" s="129"/>
      <c r="BU29" s="129"/>
      <c r="BV29" s="129"/>
      <c r="BW29" s="129"/>
      <c r="BX29" s="129"/>
      <c r="BY29" s="129"/>
      <c r="BZ29" s="129"/>
      <c r="CA29" s="129"/>
      <c r="CB29" s="129"/>
      <c r="CC29" s="129"/>
      <c r="CD29" s="129"/>
      <c r="CE29" s="129"/>
      <c r="CF29" s="129"/>
      <c r="CG29" s="129"/>
      <c r="CH29" s="129"/>
      <c r="CI29" s="129"/>
      <c r="CJ29" s="129"/>
      <c r="CK29" s="129"/>
      <c r="CL29" s="129"/>
      <c r="CM29" s="129"/>
      <c r="CN29" s="129"/>
      <c r="CO29" s="129"/>
      <c r="CP29" s="129"/>
      <c r="CQ29" s="129"/>
      <c r="CR29" s="129"/>
      <c r="CS29" s="129"/>
      <c r="CT29" s="129"/>
      <c r="CU29" s="129"/>
    </row>
    <row r="30" spans="1:99" s="120" customFormat="1" ht="23.4">
      <c r="A30" s="303">
        <v>12</v>
      </c>
      <c r="B30" s="300" t="s">
        <v>278</v>
      </c>
      <c r="C30" s="312" t="s">
        <v>324</v>
      </c>
      <c r="D30" s="303">
        <v>1</v>
      </c>
      <c r="E30" s="305">
        <f>VLOOKUP(G30,'Produtos Grupo B'!A:F,6,0)*12</f>
        <v>241156.91062993358</v>
      </c>
      <c r="F30" s="305">
        <f t="shared" si="3"/>
        <v>241156.91062993358</v>
      </c>
      <c r="G30" s="304" t="str">
        <f t="shared" si="2"/>
        <v>valor mês produto 12</v>
      </c>
      <c r="H30" s="228"/>
      <c r="I30" s="129"/>
      <c r="J30" s="129"/>
      <c r="K30" s="129"/>
      <c r="L30" s="129"/>
      <c r="M30" s="129"/>
      <c r="N30" s="129"/>
      <c r="O30" s="129"/>
      <c r="P30" s="129"/>
      <c r="Q30" s="129"/>
      <c r="R30" s="129"/>
      <c r="S30" s="129"/>
      <c r="T30" s="129"/>
      <c r="U30" s="129"/>
      <c r="V30" s="129"/>
      <c r="W30" s="129"/>
      <c r="X30" s="129"/>
      <c r="Y30" s="129"/>
      <c r="Z30" s="129"/>
      <c r="AA30" s="129"/>
      <c r="AB30" s="129"/>
      <c r="AC30" s="129"/>
      <c r="AD30" s="129"/>
      <c r="AE30" s="129"/>
      <c r="AF30" s="129"/>
      <c r="AG30" s="129"/>
      <c r="AH30" s="129"/>
      <c r="AI30" s="129"/>
      <c r="AJ30" s="129"/>
      <c r="AK30" s="129"/>
      <c r="AL30" s="129"/>
      <c r="AM30" s="129"/>
      <c r="AN30" s="129"/>
      <c r="AO30" s="129"/>
      <c r="AP30" s="129"/>
      <c r="AQ30" s="129"/>
      <c r="AR30" s="129"/>
      <c r="AS30" s="129"/>
      <c r="AT30" s="129"/>
      <c r="AU30" s="129"/>
      <c r="AV30" s="129"/>
      <c r="AW30" s="129"/>
      <c r="AX30" s="129"/>
      <c r="AY30" s="129"/>
      <c r="AZ30" s="129"/>
      <c r="BA30" s="129"/>
      <c r="BB30" s="129"/>
      <c r="BC30" s="129"/>
      <c r="BD30" s="129"/>
      <c r="BE30" s="129"/>
      <c r="BF30" s="129"/>
      <c r="BG30" s="129"/>
      <c r="BH30" s="129"/>
      <c r="BI30" s="129"/>
      <c r="BJ30" s="129"/>
      <c r="BK30" s="129"/>
      <c r="BL30" s="129"/>
      <c r="BM30" s="129"/>
      <c r="BN30" s="129"/>
      <c r="BO30" s="129"/>
      <c r="BP30" s="129"/>
      <c r="BQ30" s="129"/>
      <c r="BR30" s="129"/>
      <c r="BS30" s="129"/>
      <c r="BT30" s="129"/>
      <c r="BU30" s="129"/>
      <c r="BV30" s="129"/>
      <c r="BW30" s="129"/>
      <c r="BX30" s="129"/>
      <c r="BY30" s="129"/>
      <c r="BZ30" s="129"/>
      <c r="CA30" s="129"/>
      <c r="CB30" s="129"/>
      <c r="CC30" s="129"/>
      <c r="CD30" s="129"/>
      <c r="CE30" s="129"/>
      <c r="CF30" s="129"/>
      <c r="CG30" s="129"/>
      <c r="CH30" s="129"/>
      <c r="CI30" s="129"/>
      <c r="CJ30" s="129"/>
      <c r="CK30" s="129"/>
      <c r="CL30" s="129"/>
      <c r="CM30" s="129"/>
      <c r="CN30" s="129"/>
      <c r="CO30" s="129"/>
      <c r="CP30" s="129"/>
      <c r="CQ30" s="129"/>
      <c r="CR30" s="129"/>
      <c r="CS30" s="129"/>
      <c r="CT30" s="129"/>
      <c r="CU30" s="129"/>
    </row>
    <row r="31" spans="1:99" s="120" customFormat="1" ht="23.4">
      <c r="A31" s="303">
        <v>13</v>
      </c>
      <c r="B31" s="300" t="s">
        <v>286</v>
      </c>
      <c r="C31" s="312" t="s">
        <v>324</v>
      </c>
      <c r="D31" s="303">
        <v>1</v>
      </c>
      <c r="E31" s="305">
        <f>VLOOKUP(G31,'Produtos Grupo B'!A:F,6,0)*12</f>
        <v>241156.91062993358</v>
      </c>
      <c r="F31" s="305">
        <f t="shared" si="3"/>
        <v>241156.91062993358</v>
      </c>
      <c r="G31" s="304" t="str">
        <f t="shared" si="2"/>
        <v>valor mês produto 13</v>
      </c>
      <c r="H31" s="228"/>
      <c r="I31" s="129"/>
      <c r="J31" s="129"/>
      <c r="K31" s="129"/>
      <c r="L31" s="129"/>
      <c r="M31" s="129"/>
      <c r="N31" s="129"/>
      <c r="O31" s="129"/>
      <c r="P31" s="129"/>
      <c r="Q31" s="129"/>
      <c r="R31" s="129"/>
      <c r="S31" s="129"/>
      <c r="T31" s="129"/>
      <c r="U31" s="129"/>
      <c r="V31" s="129"/>
      <c r="W31" s="129"/>
      <c r="X31" s="129"/>
      <c r="Y31" s="129"/>
      <c r="Z31" s="129"/>
      <c r="AA31" s="129"/>
      <c r="AB31" s="129"/>
      <c r="AC31" s="129"/>
      <c r="AD31" s="129"/>
      <c r="AE31" s="129"/>
      <c r="AF31" s="129"/>
      <c r="AG31" s="129"/>
      <c r="AH31" s="129"/>
      <c r="AI31" s="129"/>
      <c r="AJ31" s="129"/>
      <c r="AK31" s="129"/>
      <c r="AL31" s="129"/>
      <c r="AM31" s="129"/>
      <c r="AN31" s="129"/>
      <c r="AO31" s="129"/>
      <c r="AP31" s="129"/>
      <c r="AQ31" s="129"/>
      <c r="AR31" s="129"/>
      <c r="AS31" s="129"/>
      <c r="AT31" s="129"/>
      <c r="AU31" s="129"/>
      <c r="AV31" s="129"/>
      <c r="AW31" s="129"/>
      <c r="AX31" s="129"/>
      <c r="AY31" s="129"/>
      <c r="AZ31" s="129"/>
      <c r="BA31" s="129"/>
      <c r="BB31" s="129"/>
      <c r="BC31" s="129"/>
      <c r="BD31" s="129"/>
      <c r="BE31" s="129"/>
      <c r="BF31" s="129"/>
      <c r="BG31" s="129"/>
      <c r="BH31" s="129"/>
      <c r="BI31" s="129"/>
      <c r="BJ31" s="129"/>
      <c r="BK31" s="129"/>
      <c r="BL31" s="129"/>
      <c r="BM31" s="129"/>
      <c r="BN31" s="129"/>
      <c r="BO31" s="129"/>
      <c r="BP31" s="129"/>
      <c r="BQ31" s="129"/>
      <c r="BR31" s="129"/>
      <c r="BS31" s="129"/>
      <c r="BT31" s="129"/>
      <c r="BU31" s="129"/>
      <c r="BV31" s="129"/>
      <c r="BW31" s="129"/>
      <c r="BX31" s="129"/>
      <c r="BY31" s="129"/>
      <c r="BZ31" s="129"/>
      <c r="CA31" s="129"/>
      <c r="CB31" s="129"/>
      <c r="CC31" s="129"/>
      <c r="CD31" s="129"/>
      <c r="CE31" s="129"/>
      <c r="CF31" s="129"/>
      <c r="CG31" s="129"/>
      <c r="CH31" s="129"/>
      <c r="CI31" s="129"/>
      <c r="CJ31" s="129"/>
      <c r="CK31" s="129"/>
      <c r="CL31" s="129"/>
      <c r="CM31" s="129"/>
      <c r="CN31" s="129"/>
      <c r="CO31" s="129"/>
      <c r="CP31" s="129"/>
      <c r="CQ31" s="129"/>
      <c r="CR31" s="129"/>
      <c r="CS31" s="129"/>
      <c r="CT31" s="129"/>
      <c r="CU31" s="129"/>
    </row>
    <row r="32" spans="1:99" s="120" customFormat="1" ht="23.4">
      <c r="A32" s="303">
        <v>14</v>
      </c>
      <c r="B32" s="300" t="s">
        <v>287</v>
      </c>
      <c r="C32" s="312" t="s">
        <v>324</v>
      </c>
      <c r="D32" s="303">
        <v>1</v>
      </c>
      <c r="E32" s="305">
        <f>VLOOKUP(G32,'Produtos Grupo B'!A:F,6,0)*12</f>
        <v>241156.91062993358</v>
      </c>
      <c r="F32" s="305">
        <f t="shared" si="3"/>
        <v>241156.91062993358</v>
      </c>
      <c r="G32" s="304" t="str">
        <f t="shared" si="2"/>
        <v>valor mês produto 14</v>
      </c>
      <c r="H32" s="228"/>
      <c r="I32" s="129"/>
      <c r="J32" s="129"/>
      <c r="K32" s="129"/>
      <c r="L32" s="129"/>
      <c r="M32" s="129"/>
      <c r="N32" s="129"/>
      <c r="O32" s="129"/>
      <c r="P32" s="129"/>
      <c r="Q32" s="129"/>
      <c r="R32" s="129"/>
      <c r="S32" s="129"/>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29"/>
      <c r="AU32" s="129"/>
      <c r="AV32" s="129"/>
      <c r="AW32" s="129"/>
      <c r="AX32" s="129"/>
      <c r="AY32" s="129"/>
      <c r="AZ32" s="129"/>
      <c r="BA32" s="129"/>
      <c r="BB32" s="129"/>
      <c r="BC32" s="129"/>
      <c r="BD32" s="129"/>
      <c r="BE32" s="129"/>
      <c r="BF32" s="129"/>
      <c r="BG32" s="129"/>
      <c r="BH32" s="129"/>
      <c r="BI32" s="129"/>
      <c r="BJ32" s="129"/>
      <c r="BK32" s="129"/>
      <c r="BL32" s="129"/>
      <c r="BM32" s="129"/>
      <c r="BN32" s="129"/>
      <c r="BO32" s="129"/>
      <c r="BP32" s="129"/>
      <c r="BQ32" s="129"/>
      <c r="BR32" s="129"/>
      <c r="BS32" s="129"/>
      <c r="BT32" s="129"/>
      <c r="BU32" s="129"/>
      <c r="BV32" s="129"/>
      <c r="BW32" s="129"/>
      <c r="BX32" s="129"/>
      <c r="BY32" s="129"/>
      <c r="BZ32" s="129"/>
      <c r="CA32" s="129"/>
      <c r="CB32" s="129"/>
      <c r="CC32" s="129"/>
      <c r="CD32" s="129"/>
      <c r="CE32" s="129"/>
      <c r="CF32" s="129"/>
      <c r="CG32" s="129"/>
      <c r="CH32" s="129"/>
      <c r="CI32" s="129"/>
      <c r="CJ32" s="129"/>
      <c r="CK32" s="129"/>
      <c r="CL32" s="129"/>
      <c r="CM32" s="129"/>
      <c r="CN32" s="129"/>
      <c r="CO32" s="129"/>
      <c r="CP32" s="129"/>
      <c r="CQ32" s="129"/>
      <c r="CR32" s="129"/>
      <c r="CS32" s="129"/>
      <c r="CT32" s="129"/>
      <c r="CU32" s="129"/>
    </row>
    <row r="33" spans="1:99" s="120" customFormat="1" ht="21.75" customHeight="1">
      <c r="B33" s="228"/>
      <c r="C33" s="228"/>
      <c r="D33" s="3"/>
      <c r="E33" s="228"/>
      <c r="F33" s="306">
        <f>SUM(F23:F32)</f>
        <v>2411569.1062993365</v>
      </c>
      <c r="G33" s="3"/>
      <c r="H33" s="228"/>
      <c r="I33" s="129"/>
      <c r="J33" s="129"/>
      <c r="K33" s="129"/>
      <c r="L33" s="129"/>
      <c r="M33" s="129"/>
      <c r="N33" s="129"/>
      <c r="O33" s="129"/>
      <c r="P33" s="129"/>
      <c r="Q33" s="129"/>
      <c r="R33" s="129"/>
      <c r="S33" s="129"/>
      <c r="T33" s="129"/>
      <c r="U33" s="129"/>
      <c r="V33" s="129"/>
      <c r="W33" s="129"/>
      <c r="X33" s="129"/>
      <c r="Y33" s="129"/>
      <c r="Z33" s="129"/>
      <c r="AA33" s="129"/>
      <c r="AB33" s="129"/>
      <c r="AC33" s="129"/>
      <c r="AD33" s="129"/>
      <c r="AE33" s="129"/>
      <c r="AF33" s="129"/>
      <c r="AG33" s="129"/>
      <c r="AH33" s="129"/>
      <c r="AI33" s="129"/>
      <c r="AJ33" s="129"/>
      <c r="AK33" s="129"/>
      <c r="AL33" s="129"/>
      <c r="AM33" s="129"/>
      <c r="AN33" s="129"/>
      <c r="AO33" s="129"/>
      <c r="AP33" s="129"/>
      <c r="AQ33" s="129"/>
      <c r="AR33" s="129"/>
      <c r="AS33" s="129"/>
      <c r="AT33" s="129"/>
      <c r="AU33" s="129"/>
      <c r="AV33" s="129"/>
      <c r="AW33" s="129"/>
      <c r="AX33" s="129"/>
      <c r="AY33" s="129"/>
      <c r="AZ33" s="129"/>
      <c r="BA33" s="129"/>
      <c r="BB33" s="129"/>
      <c r="BC33" s="129"/>
      <c r="BD33" s="129"/>
      <c r="BE33" s="129"/>
      <c r="BF33" s="129"/>
      <c r="BG33" s="129"/>
      <c r="BH33" s="129"/>
      <c r="BI33" s="129"/>
      <c r="BJ33" s="129"/>
      <c r="BK33" s="129"/>
      <c r="BL33" s="129"/>
      <c r="BM33" s="129"/>
      <c r="BN33" s="129"/>
      <c r="BO33" s="129"/>
      <c r="BP33" s="129"/>
      <c r="BQ33" s="129"/>
      <c r="BR33" s="129"/>
      <c r="BS33" s="129"/>
      <c r="BT33" s="129"/>
      <c r="BU33" s="129"/>
      <c r="BV33" s="129"/>
      <c r="BW33" s="129"/>
      <c r="BX33" s="129"/>
      <c r="BY33" s="129"/>
      <c r="BZ33" s="129"/>
      <c r="CA33" s="129"/>
      <c r="CB33" s="129"/>
      <c r="CC33" s="129"/>
      <c r="CD33" s="129"/>
      <c r="CE33" s="129"/>
      <c r="CF33" s="129"/>
      <c r="CG33" s="129"/>
      <c r="CH33" s="129"/>
      <c r="CI33" s="129"/>
      <c r="CJ33" s="129"/>
      <c r="CK33" s="129"/>
      <c r="CL33" s="129"/>
      <c r="CM33" s="129"/>
      <c r="CN33" s="129"/>
      <c r="CO33" s="129"/>
      <c r="CP33" s="129"/>
      <c r="CQ33" s="129"/>
      <c r="CR33" s="129"/>
      <c r="CS33" s="129"/>
      <c r="CT33" s="129"/>
      <c r="CU33" s="129"/>
    </row>
    <row r="34" spans="1:99" s="120" customFormat="1">
      <c r="B34" s="228"/>
      <c r="C34" s="228"/>
      <c r="D34" s="3"/>
      <c r="E34" s="228"/>
      <c r="F34" s="228"/>
      <c r="G34" s="3"/>
      <c r="H34" s="228"/>
      <c r="I34" s="129"/>
      <c r="J34" s="129"/>
      <c r="K34" s="129"/>
      <c r="L34" s="129"/>
      <c r="M34" s="129"/>
      <c r="N34" s="129"/>
      <c r="O34" s="129"/>
      <c r="P34" s="129"/>
      <c r="Q34" s="129"/>
      <c r="R34" s="129"/>
      <c r="S34" s="129"/>
      <c r="T34" s="129"/>
      <c r="U34" s="129"/>
      <c r="V34" s="129"/>
      <c r="W34" s="129"/>
      <c r="X34" s="129"/>
      <c r="Y34" s="129"/>
      <c r="Z34" s="129"/>
      <c r="AA34" s="129"/>
      <c r="AB34" s="129"/>
      <c r="AC34" s="129"/>
      <c r="AD34" s="129"/>
      <c r="AE34" s="129"/>
      <c r="AF34" s="129"/>
      <c r="AG34" s="129"/>
      <c r="AH34" s="129"/>
      <c r="AI34" s="129"/>
      <c r="AJ34" s="129"/>
      <c r="AK34" s="129"/>
      <c r="AL34" s="129"/>
      <c r="AM34" s="129"/>
      <c r="AN34" s="129"/>
      <c r="AO34" s="129"/>
      <c r="AP34" s="129"/>
      <c r="AQ34" s="129"/>
      <c r="AR34" s="129"/>
      <c r="AS34" s="129"/>
      <c r="AT34" s="129"/>
      <c r="AU34" s="129"/>
      <c r="AV34" s="129"/>
      <c r="AW34" s="129"/>
      <c r="AX34" s="129"/>
      <c r="AY34" s="129"/>
      <c r="AZ34" s="129"/>
      <c r="BA34" s="129"/>
      <c r="BB34" s="129"/>
      <c r="BC34" s="129"/>
      <c r="BD34" s="129"/>
      <c r="BE34" s="129"/>
      <c r="BF34" s="129"/>
      <c r="BG34" s="129"/>
      <c r="BH34" s="129"/>
      <c r="BI34" s="129"/>
      <c r="BJ34" s="129"/>
      <c r="BK34" s="129"/>
      <c r="BL34" s="129"/>
      <c r="BM34" s="129"/>
      <c r="BN34" s="129"/>
      <c r="BO34" s="129"/>
      <c r="BP34" s="129"/>
      <c r="BQ34" s="129"/>
      <c r="BR34" s="129"/>
      <c r="BS34" s="129"/>
      <c r="BT34" s="129"/>
      <c r="BU34" s="129"/>
      <c r="BV34" s="129"/>
      <c r="BW34" s="129"/>
      <c r="BX34" s="129"/>
      <c r="BY34" s="129"/>
      <c r="BZ34" s="129"/>
      <c r="CA34" s="129"/>
      <c r="CB34" s="129"/>
      <c r="CC34" s="129"/>
      <c r="CD34" s="129"/>
      <c r="CE34" s="129"/>
      <c r="CF34" s="129"/>
      <c r="CG34" s="129"/>
      <c r="CH34" s="129"/>
      <c r="CI34" s="129"/>
      <c r="CJ34" s="129"/>
      <c r="CK34" s="129"/>
      <c r="CL34" s="129"/>
      <c r="CM34" s="129"/>
      <c r="CN34" s="129"/>
      <c r="CO34" s="129"/>
      <c r="CP34" s="129"/>
      <c r="CQ34" s="129"/>
      <c r="CR34" s="129"/>
      <c r="CS34" s="129"/>
      <c r="CT34" s="129"/>
      <c r="CU34" s="129"/>
    </row>
    <row r="35" spans="1:99" s="120" customFormat="1">
      <c r="A35" s="298" t="str">
        <f>'Produtos Grupo C'!A3</f>
        <v>Grupo de produtos C - AJUSTES DE DOCUMENTOS DURANTE E APÓS ANÁLISE PELO TRIBUNAL DE CONTAS DA UNIÃO DOS PROJETOS DE CONCESSÃO E PRORROGAÇÕES ANTECIPADAS</v>
      </c>
      <c r="B35" s="299"/>
      <c r="C35" s="299"/>
      <c r="D35" s="299"/>
      <c r="E35" s="299"/>
      <c r="F35" s="299"/>
      <c r="G35" s="3"/>
      <c r="H35" s="228"/>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c r="AV35" s="129"/>
      <c r="AW35" s="129"/>
      <c r="AX35" s="129"/>
      <c r="AY35" s="129"/>
      <c r="AZ35" s="129"/>
      <c r="BA35" s="129"/>
      <c r="BB35" s="129"/>
      <c r="BC35" s="129"/>
      <c r="BD35" s="129"/>
      <c r="BE35" s="129"/>
      <c r="BF35" s="129"/>
      <c r="BG35" s="129"/>
      <c r="BH35" s="129"/>
      <c r="BI35" s="129"/>
      <c r="BJ35" s="129"/>
      <c r="BK35" s="129"/>
      <c r="BL35" s="129"/>
      <c r="BM35" s="129"/>
      <c r="BN35" s="129"/>
      <c r="BO35" s="129"/>
      <c r="BP35" s="129"/>
      <c r="BQ35" s="129"/>
      <c r="BR35" s="129"/>
      <c r="BS35" s="129"/>
      <c r="BT35" s="129"/>
      <c r="BU35" s="129"/>
      <c r="BV35" s="129"/>
      <c r="BW35" s="129"/>
      <c r="BX35" s="129"/>
      <c r="BY35" s="129"/>
      <c r="BZ35" s="129"/>
      <c r="CA35" s="129"/>
      <c r="CB35" s="129"/>
      <c r="CC35" s="129"/>
      <c r="CD35" s="129"/>
      <c r="CE35" s="129"/>
      <c r="CF35" s="129"/>
      <c r="CG35" s="129"/>
      <c r="CH35" s="129"/>
      <c r="CI35" s="129"/>
      <c r="CJ35" s="129"/>
      <c r="CK35" s="129"/>
      <c r="CL35" s="129"/>
      <c r="CM35" s="129"/>
      <c r="CN35" s="129"/>
      <c r="CO35" s="129"/>
      <c r="CP35" s="129"/>
      <c r="CQ35" s="129"/>
      <c r="CR35" s="129"/>
      <c r="CS35" s="129"/>
      <c r="CT35" s="129"/>
      <c r="CU35" s="129"/>
    </row>
    <row r="36" spans="1:99" s="120" customFormat="1" ht="27.6">
      <c r="A36" s="309" t="s">
        <v>123</v>
      </c>
      <c r="B36" s="309" t="s">
        <v>317</v>
      </c>
      <c r="C36" s="310" t="s">
        <v>321</v>
      </c>
      <c r="D36" s="309" t="s">
        <v>7</v>
      </c>
      <c r="E36" s="311" t="s">
        <v>322</v>
      </c>
      <c r="F36" s="311" t="s">
        <v>323</v>
      </c>
      <c r="G36" s="3"/>
      <c r="H36" s="228"/>
      <c r="I36" s="129"/>
      <c r="J36" s="129"/>
      <c r="K36" s="129"/>
      <c r="L36" s="129"/>
      <c r="M36" s="129"/>
      <c r="N36" s="129"/>
      <c r="O36" s="129"/>
      <c r="P36" s="129"/>
      <c r="Q36" s="129"/>
      <c r="R36" s="129"/>
      <c r="S36" s="129"/>
      <c r="T36" s="129"/>
      <c r="U36" s="129"/>
      <c r="V36" s="129"/>
      <c r="W36" s="129"/>
      <c r="X36" s="129"/>
      <c r="Y36" s="129"/>
      <c r="Z36" s="129"/>
      <c r="AA36" s="129"/>
      <c r="AB36" s="129"/>
      <c r="AC36" s="129"/>
      <c r="AD36" s="129"/>
      <c r="AE36" s="129"/>
      <c r="AF36" s="129"/>
      <c r="AG36" s="129"/>
      <c r="AH36" s="129"/>
      <c r="AI36" s="129"/>
      <c r="AJ36" s="129"/>
      <c r="AK36" s="129"/>
      <c r="AL36" s="129"/>
      <c r="AM36" s="129"/>
      <c r="AN36" s="129"/>
      <c r="AO36" s="129"/>
      <c r="AP36" s="129"/>
      <c r="AQ36" s="129"/>
      <c r="AR36" s="129"/>
      <c r="AS36" s="129"/>
      <c r="AT36" s="129"/>
      <c r="AU36" s="129"/>
      <c r="AV36" s="129"/>
      <c r="AW36" s="129"/>
      <c r="AX36" s="129"/>
      <c r="AY36" s="129"/>
      <c r="AZ36" s="129"/>
      <c r="BA36" s="129"/>
      <c r="BB36" s="129"/>
      <c r="BC36" s="129"/>
      <c r="BD36" s="129"/>
      <c r="BE36" s="129"/>
      <c r="BF36" s="129"/>
      <c r="BG36" s="129"/>
      <c r="BH36" s="129"/>
      <c r="BI36" s="129"/>
      <c r="BJ36" s="129"/>
      <c r="BK36" s="129"/>
      <c r="BL36" s="129"/>
      <c r="BM36" s="129"/>
      <c r="BN36" s="129"/>
      <c r="BO36" s="129"/>
      <c r="BP36" s="129"/>
      <c r="BQ36" s="129"/>
      <c r="BR36" s="129"/>
      <c r="BS36" s="129"/>
      <c r="BT36" s="129"/>
      <c r="BU36" s="129"/>
      <c r="BV36" s="129"/>
      <c r="BW36" s="129"/>
      <c r="BX36" s="129"/>
      <c r="BY36" s="129"/>
      <c r="BZ36" s="129"/>
      <c r="CA36" s="129"/>
      <c r="CB36" s="129"/>
      <c r="CC36" s="129"/>
      <c r="CD36" s="129"/>
      <c r="CE36" s="129"/>
      <c r="CF36" s="129"/>
      <c r="CG36" s="129"/>
      <c r="CH36" s="129"/>
      <c r="CI36" s="129"/>
      <c r="CJ36" s="129"/>
      <c r="CK36" s="129"/>
      <c r="CL36" s="129"/>
      <c r="CM36" s="129"/>
      <c r="CN36" s="129"/>
      <c r="CO36" s="129"/>
      <c r="CP36" s="129"/>
      <c r="CQ36" s="129"/>
      <c r="CR36" s="129"/>
      <c r="CS36" s="129"/>
      <c r="CT36" s="129"/>
      <c r="CU36" s="129"/>
    </row>
    <row r="37" spans="1:99" s="120" customFormat="1" ht="23.4">
      <c r="A37" s="303">
        <v>15</v>
      </c>
      <c r="B37" s="300" t="s">
        <v>289</v>
      </c>
      <c r="C37" s="312" t="s">
        <v>324</v>
      </c>
      <c r="D37" s="303">
        <v>1</v>
      </c>
      <c r="E37" s="305">
        <f>VLOOKUP(G37,'Produtos Grupo C'!A:F,6,0)*12</f>
        <v>280939.81986951147</v>
      </c>
      <c r="F37" s="305">
        <f>E37*D37</f>
        <v>280939.81986951147</v>
      </c>
      <c r="G37" s="304" t="str">
        <f t="shared" ref="G37:G41" si="4">"valor mês produto "&amp;A37</f>
        <v>valor mês produto 15</v>
      </c>
      <c r="H37" s="228"/>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29"/>
      <c r="BL37" s="129"/>
      <c r="BM37" s="129"/>
      <c r="BN37" s="129"/>
      <c r="BO37" s="129"/>
      <c r="BP37" s="129"/>
      <c r="BQ37" s="129"/>
      <c r="BR37" s="129"/>
      <c r="BS37" s="129"/>
      <c r="BT37" s="129"/>
      <c r="BU37" s="129"/>
      <c r="BV37" s="129"/>
      <c r="BW37" s="129"/>
      <c r="BX37" s="129"/>
      <c r="BY37" s="129"/>
      <c r="BZ37" s="129"/>
      <c r="CA37" s="129"/>
      <c r="CB37" s="129"/>
      <c r="CC37" s="129"/>
      <c r="CD37" s="129"/>
      <c r="CE37" s="129"/>
      <c r="CF37" s="129"/>
      <c r="CG37" s="129"/>
      <c r="CH37" s="129"/>
      <c r="CI37" s="129"/>
      <c r="CJ37" s="129"/>
      <c r="CK37" s="129"/>
      <c r="CL37" s="129"/>
      <c r="CM37" s="129"/>
      <c r="CN37" s="129"/>
      <c r="CO37" s="129"/>
      <c r="CP37" s="129"/>
      <c r="CQ37" s="129"/>
      <c r="CR37" s="129"/>
      <c r="CS37" s="129"/>
      <c r="CT37" s="129"/>
      <c r="CU37" s="129"/>
    </row>
    <row r="38" spans="1:99" s="120" customFormat="1" ht="23.4">
      <c r="A38" s="303">
        <v>16</v>
      </c>
      <c r="B38" s="300" t="s">
        <v>290</v>
      </c>
      <c r="C38" s="312" t="s">
        <v>324</v>
      </c>
      <c r="D38" s="303">
        <v>1</v>
      </c>
      <c r="E38" s="305">
        <f>VLOOKUP(G38,'Produtos Grupo C'!A:F,6,0)*12</f>
        <v>280939.81986951147</v>
      </c>
      <c r="F38" s="305">
        <f t="shared" ref="F38:F41" si="5">E38*D38</f>
        <v>280939.81986951147</v>
      </c>
      <c r="G38" s="304" t="str">
        <f t="shared" si="4"/>
        <v>valor mês produto 16</v>
      </c>
      <c r="H38" s="228"/>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c r="AK38" s="129"/>
      <c r="AL38" s="129"/>
      <c r="AM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29"/>
      <c r="BL38" s="129"/>
      <c r="BM38" s="129"/>
      <c r="BN38" s="129"/>
      <c r="BO38" s="129"/>
      <c r="BP38" s="129"/>
      <c r="BQ38" s="129"/>
      <c r="BR38" s="129"/>
      <c r="BS38" s="129"/>
      <c r="BT38" s="129"/>
      <c r="BU38" s="129"/>
      <c r="BV38" s="129"/>
      <c r="BW38" s="129"/>
      <c r="BX38" s="129"/>
      <c r="BY38" s="129"/>
      <c r="BZ38" s="129"/>
      <c r="CA38" s="129"/>
      <c r="CB38" s="129"/>
      <c r="CC38" s="129"/>
      <c r="CD38" s="129"/>
      <c r="CE38" s="129"/>
      <c r="CF38" s="129"/>
      <c r="CG38" s="129"/>
      <c r="CH38" s="129"/>
      <c r="CI38" s="129"/>
      <c r="CJ38" s="129"/>
      <c r="CK38" s="129"/>
      <c r="CL38" s="129"/>
      <c r="CM38" s="129"/>
      <c r="CN38" s="129"/>
      <c r="CO38" s="129"/>
      <c r="CP38" s="129"/>
      <c r="CQ38" s="129"/>
      <c r="CR38" s="129"/>
      <c r="CS38" s="129"/>
      <c r="CT38" s="129"/>
      <c r="CU38" s="129"/>
    </row>
    <row r="39" spans="1:99" s="120" customFormat="1" ht="23.4">
      <c r="A39" s="303">
        <v>17</v>
      </c>
      <c r="B39" s="300" t="s">
        <v>280</v>
      </c>
      <c r="C39" s="312" t="s">
        <v>324</v>
      </c>
      <c r="D39" s="303">
        <v>1</v>
      </c>
      <c r="E39" s="305">
        <f>VLOOKUP(G39,'Produtos Grupo C'!A:F,6,0)*12</f>
        <v>280939.81986951147</v>
      </c>
      <c r="F39" s="305">
        <f t="shared" si="5"/>
        <v>280939.81986951147</v>
      </c>
      <c r="G39" s="304" t="str">
        <f t="shared" si="4"/>
        <v>valor mês produto 17</v>
      </c>
      <c r="H39" s="228"/>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c r="AK39" s="129"/>
      <c r="AL39" s="129"/>
      <c r="AM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29"/>
      <c r="BL39" s="129"/>
      <c r="BM39" s="129"/>
      <c r="BN39" s="129"/>
      <c r="BO39" s="129"/>
      <c r="BP39" s="129"/>
      <c r="BQ39" s="129"/>
      <c r="BR39" s="129"/>
      <c r="BS39" s="129"/>
      <c r="BT39" s="129"/>
      <c r="BU39" s="129"/>
      <c r="BV39" s="129"/>
      <c r="BW39" s="129"/>
      <c r="BX39" s="129"/>
      <c r="BY39" s="129"/>
      <c r="BZ39" s="129"/>
      <c r="CA39" s="129"/>
      <c r="CB39" s="129"/>
      <c r="CC39" s="129"/>
      <c r="CD39" s="129"/>
      <c r="CE39" s="129"/>
      <c r="CF39" s="129"/>
      <c r="CG39" s="129"/>
      <c r="CH39" s="129"/>
      <c r="CI39" s="129"/>
      <c r="CJ39" s="129"/>
      <c r="CK39" s="129"/>
      <c r="CL39" s="129"/>
      <c r="CM39" s="129"/>
      <c r="CN39" s="129"/>
      <c r="CO39" s="129"/>
      <c r="CP39" s="129"/>
      <c r="CQ39" s="129"/>
      <c r="CR39" s="129"/>
      <c r="CS39" s="129"/>
      <c r="CT39" s="129"/>
      <c r="CU39" s="129"/>
    </row>
    <row r="40" spans="1:99" s="120" customFormat="1" ht="23.4">
      <c r="A40" s="303">
        <v>18</v>
      </c>
      <c r="B40" s="300" t="s">
        <v>291</v>
      </c>
      <c r="C40" s="312" t="s">
        <v>324</v>
      </c>
      <c r="D40" s="303">
        <v>1</v>
      </c>
      <c r="E40" s="305">
        <f>VLOOKUP(G40,'Produtos Grupo C'!A:F,6,0)*12</f>
        <v>280939.81986951147</v>
      </c>
      <c r="F40" s="305">
        <f t="shared" si="5"/>
        <v>280939.81986951147</v>
      </c>
      <c r="G40" s="304" t="str">
        <f t="shared" si="4"/>
        <v>valor mês produto 18</v>
      </c>
      <c r="H40" s="228"/>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c r="AL40" s="129"/>
      <c r="AM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29"/>
      <c r="BL40" s="129"/>
      <c r="BM40" s="129"/>
      <c r="BN40" s="129"/>
      <c r="BO40" s="129"/>
      <c r="BP40" s="129"/>
      <c r="BQ40" s="129"/>
      <c r="BR40" s="129"/>
      <c r="BS40" s="129"/>
      <c r="BT40" s="129"/>
      <c r="BU40" s="129"/>
      <c r="BV40" s="129"/>
      <c r="BW40" s="129"/>
      <c r="BX40" s="129"/>
      <c r="BY40" s="129"/>
      <c r="BZ40" s="129"/>
      <c r="CA40" s="129"/>
      <c r="CB40" s="129"/>
      <c r="CC40" s="129"/>
      <c r="CD40" s="129"/>
      <c r="CE40" s="129"/>
      <c r="CF40" s="129"/>
      <c r="CG40" s="129"/>
      <c r="CH40" s="129"/>
      <c r="CI40" s="129"/>
      <c r="CJ40" s="129"/>
      <c r="CK40" s="129"/>
      <c r="CL40" s="129"/>
      <c r="CM40" s="129"/>
      <c r="CN40" s="129"/>
      <c r="CO40" s="129"/>
      <c r="CP40" s="129"/>
      <c r="CQ40" s="129"/>
      <c r="CR40" s="129"/>
      <c r="CS40" s="129"/>
      <c r="CT40" s="129"/>
      <c r="CU40" s="129"/>
    </row>
    <row r="41" spans="1:99" s="120" customFormat="1" ht="23.4">
      <c r="A41" s="303">
        <v>19</v>
      </c>
      <c r="B41" s="300" t="s">
        <v>292</v>
      </c>
      <c r="C41" s="312" t="s">
        <v>324</v>
      </c>
      <c r="D41" s="303">
        <v>1</v>
      </c>
      <c r="E41" s="305">
        <f>VLOOKUP(G41,'Produtos Grupo C'!A:F,6,0)*12</f>
        <v>280939.81986951147</v>
      </c>
      <c r="F41" s="305">
        <f t="shared" si="5"/>
        <v>280939.81986951147</v>
      </c>
      <c r="G41" s="304" t="str">
        <f t="shared" si="4"/>
        <v>valor mês produto 19</v>
      </c>
      <c r="H41" s="228"/>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c r="AK41" s="129"/>
      <c r="AL41" s="129"/>
      <c r="AM41" s="129"/>
      <c r="AN41" s="129"/>
      <c r="AO41" s="129"/>
      <c r="AP41" s="129"/>
      <c r="AQ41" s="129"/>
      <c r="AR41" s="129"/>
      <c r="AS41" s="129"/>
      <c r="AT41" s="129"/>
      <c r="AU41" s="129"/>
      <c r="AV41" s="129"/>
      <c r="AW41" s="129"/>
      <c r="AX41" s="129"/>
      <c r="AY41" s="129"/>
      <c r="AZ41" s="129"/>
      <c r="BA41" s="129"/>
      <c r="BB41" s="129"/>
      <c r="BC41" s="129"/>
      <c r="BD41" s="129"/>
      <c r="BE41" s="129"/>
      <c r="BF41" s="129"/>
      <c r="BG41" s="129"/>
      <c r="BH41" s="129"/>
      <c r="BI41" s="129"/>
      <c r="BJ41" s="129"/>
      <c r="BK41" s="129"/>
      <c r="BL41" s="129"/>
      <c r="BM41" s="129"/>
      <c r="BN41" s="129"/>
      <c r="BO41" s="129"/>
      <c r="BP41" s="129"/>
      <c r="BQ41" s="129"/>
      <c r="BR41" s="129"/>
      <c r="BS41" s="129"/>
      <c r="BT41" s="129"/>
      <c r="BU41" s="129"/>
      <c r="BV41" s="129"/>
      <c r="BW41" s="129"/>
      <c r="BX41" s="129"/>
      <c r="BY41" s="129"/>
      <c r="BZ41" s="129"/>
      <c r="CA41" s="129"/>
      <c r="CB41" s="129"/>
      <c r="CC41" s="129"/>
      <c r="CD41" s="129"/>
      <c r="CE41" s="129"/>
      <c r="CF41" s="129"/>
      <c r="CG41" s="129"/>
      <c r="CH41" s="129"/>
      <c r="CI41" s="129"/>
      <c r="CJ41" s="129"/>
      <c r="CK41" s="129"/>
      <c r="CL41" s="129"/>
      <c r="CM41" s="129"/>
      <c r="CN41" s="129"/>
      <c r="CO41" s="129"/>
      <c r="CP41" s="129"/>
      <c r="CQ41" s="129"/>
      <c r="CR41" s="129"/>
      <c r="CS41" s="129"/>
      <c r="CT41" s="129"/>
      <c r="CU41" s="129"/>
    </row>
    <row r="42" spans="1:99" s="120" customFormat="1">
      <c r="B42" s="228"/>
      <c r="C42" s="228"/>
      <c r="D42" s="3"/>
      <c r="E42" s="228"/>
      <c r="F42" s="306">
        <f>SUM(F37:F41)</f>
        <v>1404699.0993475574</v>
      </c>
      <c r="G42" s="3"/>
      <c r="H42" s="228"/>
      <c r="I42" s="129"/>
      <c r="J42" s="129"/>
      <c r="K42" s="129"/>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29"/>
      <c r="BL42" s="129"/>
      <c r="BM42" s="129"/>
      <c r="BN42" s="129"/>
      <c r="BO42" s="129"/>
      <c r="BP42" s="129"/>
      <c r="BQ42" s="129"/>
      <c r="BR42" s="129"/>
      <c r="BS42" s="129"/>
      <c r="BT42" s="129"/>
      <c r="BU42" s="129"/>
      <c r="BV42" s="129"/>
      <c r="BW42" s="129"/>
      <c r="BX42" s="129"/>
      <c r="BY42" s="129"/>
      <c r="BZ42" s="129"/>
      <c r="CA42" s="129"/>
      <c r="CB42" s="129"/>
      <c r="CC42" s="129"/>
      <c r="CD42" s="129"/>
      <c r="CE42" s="129"/>
      <c r="CF42" s="129"/>
      <c r="CG42" s="129"/>
      <c r="CH42" s="129"/>
      <c r="CI42" s="129"/>
      <c r="CJ42" s="129"/>
      <c r="CK42" s="129"/>
      <c r="CL42" s="129"/>
      <c r="CM42" s="129"/>
      <c r="CN42" s="129"/>
      <c r="CO42" s="129"/>
      <c r="CP42" s="129"/>
      <c r="CQ42" s="129"/>
      <c r="CR42" s="129"/>
      <c r="CS42" s="129"/>
      <c r="CT42" s="129"/>
      <c r="CU42" s="129"/>
    </row>
    <row r="43" spans="1:99" s="120" customFormat="1">
      <c r="B43" s="228"/>
      <c r="C43" s="228"/>
      <c r="D43" s="3"/>
      <c r="E43" s="228"/>
      <c r="F43" s="228"/>
      <c r="G43" s="3"/>
      <c r="H43" s="228"/>
      <c r="I43" s="129"/>
      <c r="J43" s="129"/>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c r="AL43" s="129"/>
      <c r="AM43" s="129"/>
      <c r="AN43" s="129"/>
      <c r="AO43" s="129"/>
      <c r="AP43" s="129"/>
      <c r="AQ43" s="129"/>
      <c r="AR43" s="129"/>
      <c r="AS43" s="129"/>
      <c r="AT43" s="129"/>
      <c r="AU43" s="129"/>
      <c r="AV43" s="129"/>
      <c r="AW43" s="129"/>
      <c r="AX43" s="129"/>
      <c r="AY43" s="129"/>
      <c r="AZ43" s="129"/>
      <c r="BA43" s="129"/>
      <c r="BB43" s="129"/>
      <c r="BC43" s="129"/>
      <c r="BD43" s="129"/>
      <c r="BE43" s="129"/>
      <c r="BF43" s="129"/>
      <c r="BG43" s="129"/>
      <c r="BH43" s="129"/>
      <c r="BI43" s="129"/>
      <c r="BJ43" s="129"/>
      <c r="BK43" s="129"/>
      <c r="BL43" s="129"/>
      <c r="BM43" s="129"/>
      <c r="BN43" s="129"/>
      <c r="BO43" s="129"/>
      <c r="BP43" s="129"/>
      <c r="BQ43" s="129"/>
      <c r="BR43" s="129"/>
      <c r="BS43" s="129"/>
      <c r="BT43" s="129"/>
      <c r="BU43" s="129"/>
      <c r="BV43" s="129"/>
      <c r="BW43" s="129"/>
      <c r="BX43" s="129"/>
      <c r="BY43" s="129"/>
      <c r="BZ43" s="129"/>
      <c r="CA43" s="129"/>
      <c r="CB43" s="129"/>
      <c r="CC43" s="129"/>
      <c r="CD43" s="129"/>
      <c r="CE43" s="129"/>
      <c r="CF43" s="129"/>
      <c r="CG43" s="129"/>
      <c r="CH43" s="129"/>
      <c r="CI43" s="129"/>
      <c r="CJ43" s="129"/>
      <c r="CK43" s="129"/>
      <c r="CL43" s="129"/>
      <c r="CM43" s="129"/>
      <c r="CN43" s="129"/>
      <c r="CO43" s="129"/>
      <c r="CP43" s="129"/>
      <c r="CQ43" s="129"/>
      <c r="CR43" s="129"/>
      <c r="CS43" s="129"/>
      <c r="CT43" s="129"/>
      <c r="CU43" s="129"/>
    </row>
    <row r="44" spans="1:99" s="120" customFormat="1">
      <c r="B44" s="228"/>
      <c r="C44" s="228"/>
      <c r="D44" s="3"/>
      <c r="E44" s="228"/>
      <c r="F44" s="228"/>
      <c r="G44" s="3"/>
      <c r="H44" s="228"/>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c r="AK44" s="129"/>
      <c r="AL44" s="129"/>
      <c r="AM44" s="129"/>
      <c r="AN44" s="129"/>
      <c r="AO44" s="129"/>
      <c r="AP44" s="129"/>
      <c r="AQ44" s="129"/>
      <c r="AR44" s="129"/>
      <c r="AS44" s="129"/>
      <c r="AT44" s="129"/>
      <c r="AU44" s="129"/>
      <c r="AV44" s="129"/>
      <c r="AW44" s="129"/>
      <c r="AX44" s="129"/>
      <c r="AY44" s="129"/>
      <c r="AZ44" s="129"/>
      <c r="BA44" s="129"/>
      <c r="BB44" s="129"/>
      <c r="BC44" s="129"/>
      <c r="BD44" s="129"/>
      <c r="BE44" s="129"/>
      <c r="BF44" s="129"/>
      <c r="BG44" s="129"/>
      <c r="BH44" s="129"/>
      <c r="BI44" s="129"/>
      <c r="BJ44" s="129"/>
      <c r="BK44" s="129"/>
      <c r="BL44" s="129"/>
      <c r="BM44" s="129"/>
      <c r="BN44" s="129"/>
      <c r="BO44" s="129"/>
      <c r="BP44" s="129"/>
      <c r="BQ44" s="129"/>
      <c r="BR44" s="129"/>
      <c r="BS44" s="129"/>
      <c r="BT44" s="129"/>
      <c r="BU44" s="129"/>
      <c r="BV44" s="129"/>
      <c r="BW44" s="129"/>
      <c r="BX44" s="129"/>
      <c r="BY44" s="129"/>
      <c r="BZ44" s="129"/>
      <c r="CA44" s="129"/>
      <c r="CB44" s="129"/>
      <c r="CC44" s="129"/>
      <c r="CD44" s="129"/>
      <c r="CE44" s="129"/>
      <c r="CF44" s="129"/>
      <c r="CG44" s="129"/>
      <c r="CH44" s="129"/>
      <c r="CI44" s="129"/>
      <c r="CJ44" s="129"/>
      <c r="CK44" s="129"/>
      <c r="CL44" s="129"/>
      <c r="CM44" s="129"/>
      <c r="CN44" s="129"/>
      <c r="CO44" s="129"/>
      <c r="CP44" s="129"/>
      <c r="CQ44" s="129"/>
      <c r="CR44" s="129"/>
      <c r="CS44" s="129"/>
      <c r="CT44" s="129"/>
      <c r="CU44" s="129"/>
    </row>
    <row r="45" spans="1:99" s="120" customFormat="1">
      <c r="A45" s="298" t="str">
        <f>'Produtos Grupo D'!A3</f>
        <v>Grupo de produtos D - ELABORAÇÃO DE CRONOGRAMA PARA GESTÃO DE PROJETOS DE CONCESSÃO E PRORROGAÇÕES ANTECIPADAS</v>
      </c>
      <c r="B45" s="299"/>
      <c r="C45" s="299"/>
      <c r="D45" s="299"/>
      <c r="E45" s="299"/>
      <c r="F45" s="299"/>
      <c r="G45" s="3"/>
      <c r="H45" s="228"/>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29"/>
      <c r="AU45" s="129"/>
      <c r="AV45" s="129"/>
      <c r="AW45" s="129"/>
      <c r="AX45" s="129"/>
      <c r="AY45" s="129"/>
      <c r="AZ45" s="129"/>
      <c r="BA45" s="129"/>
      <c r="BB45" s="129"/>
      <c r="BC45" s="129"/>
      <c r="BD45" s="129"/>
      <c r="BE45" s="129"/>
      <c r="BF45" s="129"/>
      <c r="BG45" s="129"/>
      <c r="BH45" s="129"/>
      <c r="BI45" s="129"/>
      <c r="BJ45" s="129"/>
      <c r="BK45" s="129"/>
      <c r="BL45" s="129"/>
      <c r="BM45" s="129"/>
      <c r="BN45" s="129"/>
      <c r="BO45" s="129"/>
      <c r="BP45" s="129"/>
      <c r="BQ45" s="129"/>
      <c r="BR45" s="129"/>
      <c r="BS45" s="129"/>
      <c r="BT45" s="129"/>
      <c r="BU45" s="129"/>
      <c r="BV45" s="129"/>
      <c r="BW45" s="129"/>
      <c r="BX45" s="129"/>
      <c r="BY45" s="129"/>
      <c r="BZ45" s="129"/>
      <c r="CA45" s="129"/>
      <c r="CB45" s="129"/>
      <c r="CC45" s="129"/>
      <c r="CD45" s="129"/>
      <c r="CE45" s="129"/>
      <c r="CF45" s="129"/>
      <c r="CG45" s="129"/>
      <c r="CH45" s="129"/>
      <c r="CI45" s="129"/>
      <c r="CJ45" s="129"/>
      <c r="CK45" s="129"/>
      <c r="CL45" s="129"/>
      <c r="CM45" s="129"/>
      <c r="CN45" s="129"/>
      <c r="CO45" s="129"/>
      <c r="CP45" s="129"/>
      <c r="CQ45" s="129"/>
      <c r="CR45" s="129"/>
      <c r="CS45" s="129"/>
      <c r="CT45" s="129"/>
      <c r="CU45" s="129"/>
    </row>
    <row r="46" spans="1:99" s="120" customFormat="1" ht="27.6">
      <c r="A46" s="309" t="s">
        <v>123</v>
      </c>
      <c r="B46" s="309" t="s">
        <v>317</v>
      </c>
      <c r="C46" s="310" t="s">
        <v>321</v>
      </c>
      <c r="D46" s="309" t="s">
        <v>7</v>
      </c>
      <c r="E46" s="311" t="s">
        <v>322</v>
      </c>
      <c r="F46" s="311" t="s">
        <v>323</v>
      </c>
      <c r="G46" s="3"/>
      <c r="H46" s="228"/>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129"/>
      <c r="AK46" s="129"/>
      <c r="AL46" s="129"/>
      <c r="AM46" s="129"/>
      <c r="AN46" s="129"/>
      <c r="AO46" s="129"/>
      <c r="AP46" s="129"/>
      <c r="AQ46" s="129"/>
      <c r="AR46" s="129"/>
      <c r="AS46" s="129"/>
      <c r="AT46" s="129"/>
      <c r="AU46" s="129"/>
      <c r="AV46" s="129"/>
      <c r="AW46" s="129"/>
      <c r="AX46" s="129"/>
      <c r="AY46" s="129"/>
      <c r="AZ46" s="129"/>
      <c r="BA46" s="129"/>
      <c r="BB46" s="129"/>
      <c r="BC46" s="129"/>
      <c r="BD46" s="129"/>
      <c r="BE46" s="129"/>
      <c r="BF46" s="129"/>
      <c r="BG46" s="129"/>
      <c r="BH46" s="129"/>
      <c r="BI46" s="129"/>
      <c r="BJ46" s="129"/>
      <c r="BK46" s="129"/>
      <c r="BL46" s="129"/>
      <c r="BM46" s="129"/>
      <c r="BN46" s="129"/>
      <c r="BO46" s="129"/>
      <c r="BP46" s="129"/>
      <c r="BQ46" s="129"/>
      <c r="BR46" s="129"/>
      <c r="BS46" s="129"/>
      <c r="BT46" s="129"/>
      <c r="BU46" s="129"/>
      <c r="BV46" s="129"/>
      <c r="BW46" s="129"/>
      <c r="BX46" s="129"/>
      <c r="BY46" s="129"/>
      <c r="BZ46" s="129"/>
      <c r="CA46" s="129"/>
      <c r="CB46" s="129"/>
      <c r="CC46" s="129"/>
      <c r="CD46" s="129"/>
      <c r="CE46" s="129"/>
      <c r="CF46" s="129"/>
      <c r="CG46" s="129"/>
      <c r="CH46" s="129"/>
      <c r="CI46" s="129"/>
      <c r="CJ46" s="129"/>
      <c r="CK46" s="129"/>
      <c r="CL46" s="129"/>
      <c r="CM46" s="129"/>
      <c r="CN46" s="129"/>
      <c r="CO46" s="129"/>
      <c r="CP46" s="129"/>
      <c r="CQ46" s="129"/>
      <c r="CR46" s="129"/>
      <c r="CS46" s="129"/>
      <c r="CT46" s="129"/>
      <c r="CU46" s="129"/>
    </row>
    <row r="47" spans="1:99" s="120" customFormat="1" ht="22.8">
      <c r="A47" s="303">
        <v>20</v>
      </c>
      <c r="B47" s="307" t="s">
        <v>293</v>
      </c>
      <c r="C47" s="312" t="s">
        <v>324</v>
      </c>
      <c r="D47" s="312" t="s">
        <v>326</v>
      </c>
      <c r="E47" s="305">
        <f>VLOOKUP(G47,'Produtos Grupo D'!A:F,6,0)*12</f>
        <v>6935.9812571260381</v>
      </c>
      <c r="F47" s="305">
        <f>E47</f>
        <v>6935.9812571260381</v>
      </c>
      <c r="G47" s="304" t="str">
        <f t="shared" ref="G47:G61" si="6">"valor mês produto "&amp;A47</f>
        <v>valor mês produto 20</v>
      </c>
      <c r="H47" s="228"/>
      <c r="I47" s="129"/>
      <c r="J47" s="129"/>
      <c r="K47" s="129"/>
      <c r="L47" s="129"/>
      <c r="M47" s="129"/>
      <c r="N47" s="129"/>
      <c r="O47" s="129"/>
      <c r="P47" s="129"/>
      <c r="Q47" s="129"/>
      <c r="R47" s="129"/>
      <c r="S47" s="129"/>
      <c r="T47" s="129"/>
      <c r="U47" s="129"/>
      <c r="V47" s="129"/>
      <c r="W47" s="129"/>
      <c r="X47" s="129"/>
      <c r="Y47" s="129"/>
      <c r="Z47" s="129"/>
      <c r="AA47" s="129"/>
      <c r="AB47" s="129"/>
      <c r="AC47" s="129"/>
      <c r="AD47" s="129"/>
      <c r="AE47" s="129"/>
      <c r="AF47" s="129"/>
      <c r="AG47" s="129"/>
      <c r="AH47" s="129"/>
      <c r="AI47" s="129"/>
      <c r="AJ47" s="129"/>
      <c r="AK47" s="129"/>
      <c r="AL47" s="129"/>
      <c r="AM47" s="129"/>
      <c r="AN47" s="129"/>
      <c r="AO47" s="129"/>
      <c r="AP47" s="129"/>
      <c r="AQ47" s="129"/>
      <c r="AR47" s="129"/>
      <c r="AS47" s="129"/>
      <c r="AT47" s="129"/>
      <c r="AU47" s="129"/>
      <c r="AV47" s="129"/>
      <c r="AW47" s="129"/>
      <c r="AX47" s="129"/>
      <c r="AY47" s="129"/>
      <c r="AZ47" s="129"/>
      <c r="BA47" s="129"/>
      <c r="BB47" s="129"/>
      <c r="BC47" s="129"/>
      <c r="BD47" s="129"/>
      <c r="BE47" s="129"/>
      <c r="BF47" s="129"/>
      <c r="BG47" s="129"/>
      <c r="BH47" s="129"/>
      <c r="BI47" s="129"/>
      <c r="BJ47" s="129"/>
      <c r="BK47" s="129"/>
      <c r="BL47" s="129"/>
      <c r="BM47" s="129"/>
      <c r="BN47" s="129"/>
      <c r="BO47" s="129"/>
      <c r="BP47" s="129"/>
      <c r="BQ47" s="129"/>
      <c r="BR47" s="129"/>
      <c r="BS47" s="129"/>
      <c r="BT47" s="129"/>
      <c r="BU47" s="129"/>
      <c r="BV47" s="129"/>
      <c r="BW47" s="129"/>
      <c r="BX47" s="129"/>
      <c r="BY47" s="129"/>
      <c r="BZ47" s="129"/>
      <c r="CA47" s="129"/>
      <c r="CB47" s="129"/>
      <c r="CC47" s="129"/>
      <c r="CD47" s="129"/>
      <c r="CE47" s="129"/>
      <c r="CF47" s="129"/>
      <c r="CG47" s="129"/>
      <c r="CH47" s="129"/>
      <c r="CI47" s="129"/>
      <c r="CJ47" s="129"/>
      <c r="CK47" s="129"/>
      <c r="CL47" s="129"/>
      <c r="CM47" s="129"/>
      <c r="CN47" s="129"/>
      <c r="CO47" s="129"/>
      <c r="CP47" s="129"/>
      <c r="CQ47" s="129"/>
      <c r="CR47" s="129"/>
      <c r="CS47" s="129"/>
      <c r="CT47" s="129"/>
      <c r="CU47" s="129"/>
    </row>
    <row r="48" spans="1:99" s="120" customFormat="1">
      <c r="A48" s="303">
        <v>21</v>
      </c>
      <c r="B48" s="307" t="s">
        <v>294</v>
      </c>
      <c r="C48" s="312" t="s">
        <v>324</v>
      </c>
      <c r="D48" s="303">
        <v>1</v>
      </c>
      <c r="E48" s="305">
        <f>VLOOKUP(G48,'Produtos Grupo D'!A:F,6,0)*12</f>
        <v>6935.9812571260381</v>
      </c>
      <c r="F48" s="305">
        <f t="shared" ref="F48:F61" si="7">E48*D48</f>
        <v>6935.9812571260381</v>
      </c>
      <c r="G48" s="304" t="str">
        <f t="shared" si="6"/>
        <v>valor mês produto 21</v>
      </c>
      <c r="H48" s="228"/>
      <c r="I48" s="129"/>
      <c r="J48" s="129"/>
      <c r="K48" s="129"/>
      <c r="L48" s="129"/>
      <c r="M48" s="129"/>
      <c r="N48" s="129"/>
      <c r="O48" s="129"/>
      <c r="P48" s="129"/>
      <c r="Q48" s="129"/>
      <c r="R48" s="129"/>
      <c r="S48" s="129"/>
      <c r="T48" s="129"/>
      <c r="U48" s="129"/>
      <c r="V48" s="129"/>
      <c r="W48" s="129"/>
      <c r="X48" s="129"/>
      <c r="Y48" s="129"/>
      <c r="Z48" s="129"/>
      <c r="AA48" s="129"/>
      <c r="AB48" s="129"/>
      <c r="AC48" s="129"/>
      <c r="AD48" s="129"/>
      <c r="AE48" s="129"/>
      <c r="AF48" s="129"/>
      <c r="AG48" s="129"/>
      <c r="AH48" s="129"/>
      <c r="AI48" s="129"/>
      <c r="AJ48" s="129"/>
      <c r="AK48" s="129"/>
      <c r="AL48" s="129"/>
      <c r="AM48" s="129"/>
      <c r="AN48" s="129"/>
      <c r="AO48" s="129"/>
      <c r="AP48" s="129"/>
      <c r="AQ48" s="129"/>
      <c r="AR48" s="129"/>
      <c r="AS48" s="129"/>
      <c r="AT48" s="129"/>
      <c r="AU48" s="129"/>
      <c r="AV48" s="129"/>
      <c r="AW48" s="129"/>
      <c r="AX48" s="129"/>
      <c r="AY48" s="129"/>
      <c r="AZ48" s="129"/>
      <c r="BA48" s="129"/>
      <c r="BB48" s="129"/>
      <c r="BC48" s="129"/>
      <c r="BD48" s="129"/>
      <c r="BE48" s="129"/>
      <c r="BF48" s="129"/>
      <c r="BG48" s="129"/>
      <c r="BH48" s="129"/>
      <c r="BI48" s="129"/>
      <c r="BJ48" s="129"/>
      <c r="BK48" s="129"/>
      <c r="BL48" s="129"/>
      <c r="BM48" s="129"/>
      <c r="BN48" s="129"/>
      <c r="BO48" s="129"/>
      <c r="BP48" s="129"/>
      <c r="BQ48" s="129"/>
      <c r="BR48" s="129"/>
      <c r="BS48" s="129"/>
      <c r="BT48" s="129"/>
      <c r="BU48" s="129"/>
      <c r="BV48" s="129"/>
      <c r="BW48" s="129"/>
      <c r="BX48" s="129"/>
      <c r="BY48" s="129"/>
      <c r="BZ48" s="129"/>
      <c r="CA48" s="129"/>
      <c r="CB48" s="129"/>
      <c r="CC48" s="129"/>
      <c r="CD48" s="129"/>
      <c r="CE48" s="129"/>
      <c r="CF48" s="129"/>
      <c r="CG48" s="129"/>
      <c r="CH48" s="129"/>
      <c r="CI48" s="129"/>
      <c r="CJ48" s="129"/>
      <c r="CK48" s="129"/>
      <c r="CL48" s="129"/>
      <c r="CM48" s="129"/>
      <c r="CN48" s="129"/>
      <c r="CO48" s="129"/>
      <c r="CP48" s="129"/>
      <c r="CQ48" s="129"/>
      <c r="CR48" s="129"/>
      <c r="CS48" s="129"/>
      <c r="CT48" s="129"/>
      <c r="CU48" s="129"/>
    </row>
    <row r="49" spans="1:99" s="120" customFormat="1">
      <c r="A49" s="303">
        <v>22</v>
      </c>
      <c r="B49" s="307" t="s">
        <v>295</v>
      </c>
      <c r="C49" s="312" t="s">
        <v>324</v>
      </c>
      <c r="D49" s="303">
        <v>1</v>
      </c>
      <c r="E49" s="305">
        <f>VLOOKUP(G49,'Produtos Grupo D'!A:F,6,0)*12</f>
        <v>6935.9812571260381</v>
      </c>
      <c r="F49" s="305">
        <f t="shared" si="7"/>
        <v>6935.9812571260381</v>
      </c>
      <c r="G49" s="304" t="str">
        <f t="shared" si="6"/>
        <v>valor mês produto 22</v>
      </c>
      <c r="H49" s="228"/>
      <c r="I49" s="129"/>
      <c r="J49" s="129"/>
      <c r="K49" s="129"/>
      <c r="L49" s="129"/>
      <c r="M49" s="129"/>
      <c r="N49" s="129"/>
      <c r="O49" s="129"/>
      <c r="P49" s="129"/>
      <c r="Q49" s="129"/>
      <c r="R49" s="129"/>
      <c r="S49" s="129"/>
      <c r="T49" s="129"/>
      <c r="U49" s="129"/>
      <c r="V49" s="129"/>
      <c r="W49" s="129"/>
      <c r="X49" s="129"/>
      <c r="Y49" s="129"/>
      <c r="Z49" s="129"/>
      <c r="AA49" s="129"/>
      <c r="AB49" s="129"/>
      <c r="AC49" s="129"/>
      <c r="AD49" s="129"/>
      <c r="AE49" s="129"/>
      <c r="AF49" s="129"/>
      <c r="AG49" s="129"/>
      <c r="AH49" s="129"/>
      <c r="AI49" s="129"/>
      <c r="AJ49" s="129"/>
      <c r="AK49" s="129"/>
      <c r="AL49" s="129"/>
      <c r="AM49" s="129"/>
      <c r="AN49" s="129"/>
      <c r="AO49" s="129"/>
      <c r="AP49" s="129"/>
      <c r="AQ49" s="129"/>
      <c r="AR49" s="129"/>
      <c r="AS49" s="129"/>
      <c r="AT49" s="129"/>
      <c r="AU49" s="129"/>
      <c r="AV49" s="129"/>
      <c r="AW49" s="129"/>
      <c r="AX49" s="129"/>
      <c r="AY49" s="129"/>
      <c r="AZ49" s="129"/>
      <c r="BA49" s="129"/>
      <c r="BB49" s="129"/>
      <c r="BC49" s="129"/>
      <c r="BD49" s="129"/>
      <c r="BE49" s="129"/>
      <c r="BF49" s="129"/>
      <c r="BG49" s="129"/>
      <c r="BH49" s="129"/>
      <c r="BI49" s="129"/>
      <c r="BJ49" s="129"/>
      <c r="BK49" s="129"/>
      <c r="BL49" s="129"/>
      <c r="BM49" s="129"/>
      <c r="BN49" s="129"/>
      <c r="BO49" s="129"/>
      <c r="BP49" s="129"/>
      <c r="BQ49" s="129"/>
      <c r="BR49" s="129"/>
      <c r="BS49" s="129"/>
      <c r="BT49" s="129"/>
      <c r="BU49" s="129"/>
      <c r="BV49" s="129"/>
      <c r="BW49" s="129"/>
      <c r="BX49" s="129"/>
      <c r="BY49" s="129"/>
      <c r="BZ49" s="129"/>
      <c r="CA49" s="129"/>
      <c r="CB49" s="129"/>
      <c r="CC49" s="129"/>
      <c r="CD49" s="129"/>
      <c r="CE49" s="129"/>
      <c r="CF49" s="129"/>
      <c r="CG49" s="129"/>
      <c r="CH49" s="129"/>
      <c r="CI49" s="129"/>
      <c r="CJ49" s="129"/>
      <c r="CK49" s="129"/>
      <c r="CL49" s="129"/>
      <c r="CM49" s="129"/>
      <c r="CN49" s="129"/>
      <c r="CO49" s="129"/>
      <c r="CP49" s="129"/>
      <c r="CQ49" s="129"/>
      <c r="CR49" s="129"/>
      <c r="CS49" s="129"/>
      <c r="CT49" s="129"/>
      <c r="CU49" s="129"/>
    </row>
    <row r="50" spans="1:99" s="120" customFormat="1">
      <c r="A50" s="303">
        <v>23</v>
      </c>
      <c r="B50" s="307" t="s">
        <v>307</v>
      </c>
      <c r="C50" s="312" t="s">
        <v>324</v>
      </c>
      <c r="D50" s="303">
        <v>1</v>
      </c>
      <c r="E50" s="305">
        <f>VLOOKUP(G50,'Produtos Grupo D'!A:F,6,0)*12</f>
        <v>6935.9812571260381</v>
      </c>
      <c r="F50" s="305">
        <f t="shared" si="7"/>
        <v>6935.9812571260381</v>
      </c>
      <c r="G50" s="304" t="str">
        <f t="shared" si="6"/>
        <v>valor mês produto 23</v>
      </c>
      <c r="H50" s="228"/>
      <c r="I50" s="129"/>
      <c r="J50" s="129"/>
      <c r="K50" s="129"/>
      <c r="L50" s="129"/>
      <c r="M50" s="129"/>
      <c r="N50" s="129"/>
      <c r="O50" s="129"/>
      <c r="P50" s="129"/>
      <c r="Q50" s="129"/>
      <c r="R50" s="129"/>
      <c r="S50" s="129"/>
      <c r="T50" s="129"/>
      <c r="U50" s="129"/>
      <c r="V50" s="129"/>
      <c r="W50" s="129"/>
      <c r="X50" s="129"/>
      <c r="Y50" s="129"/>
      <c r="Z50" s="129"/>
      <c r="AA50" s="129"/>
      <c r="AB50" s="129"/>
      <c r="AC50" s="129"/>
      <c r="AD50" s="129"/>
      <c r="AE50" s="129"/>
      <c r="AF50" s="129"/>
      <c r="AG50" s="129"/>
      <c r="AH50" s="129"/>
      <c r="AI50" s="129"/>
      <c r="AJ50" s="129"/>
      <c r="AK50" s="129"/>
      <c r="AL50" s="129"/>
      <c r="AM50" s="129"/>
      <c r="AN50" s="129"/>
      <c r="AO50" s="129"/>
      <c r="AP50" s="129"/>
      <c r="AQ50" s="129"/>
      <c r="AR50" s="129"/>
      <c r="AS50" s="129"/>
      <c r="AT50" s="129"/>
      <c r="AU50" s="129"/>
      <c r="AV50" s="129"/>
      <c r="AW50" s="129"/>
      <c r="AX50" s="129"/>
      <c r="AY50" s="129"/>
      <c r="AZ50" s="129"/>
      <c r="BA50" s="129"/>
      <c r="BB50" s="129"/>
      <c r="BC50" s="129"/>
      <c r="BD50" s="129"/>
      <c r="BE50" s="129"/>
      <c r="BF50" s="129"/>
      <c r="BG50" s="129"/>
      <c r="BH50" s="129"/>
      <c r="BI50" s="129"/>
      <c r="BJ50" s="129"/>
      <c r="BK50" s="129"/>
      <c r="BL50" s="129"/>
      <c r="BM50" s="129"/>
      <c r="BN50" s="129"/>
      <c r="BO50" s="129"/>
      <c r="BP50" s="129"/>
      <c r="BQ50" s="129"/>
      <c r="BR50" s="129"/>
      <c r="BS50" s="129"/>
      <c r="BT50" s="129"/>
      <c r="BU50" s="129"/>
      <c r="BV50" s="129"/>
      <c r="BW50" s="129"/>
      <c r="BX50" s="129"/>
      <c r="BY50" s="129"/>
      <c r="BZ50" s="129"/>
      <c r="CA50" s="129"/>
      <c r="CB50" s="129"/>
      <c r="CC50" s="129"/>
      <c r="CD50" s="129"/>
      <c r="CE50" s="129"/>
      <c r="CF50" s="129"/>
      <c r="CG50" s="129"/>
      <c r="CH50" s="129"/>
      <c r="CI50" s="129"/>
      <c r="CJ50" s="129"/>
      <c r="CK50" s="129"/>
      <c r="CL50" s="129"/>
      <c r="CM50" s="129"/>
      <c r="CN50" s="129"/>
      <c r="CO50" s="129"/>
      <c r="CP50" s="129"/>
      <c r="CQ50" s="129"/>
      <c r="CR50" s="129"/>
      <c r="CS50" s="129"/>
      <c r="CT50" s="129"/>
      <c r="CU50" s="129"/>
    </row>
    <row r="51" spans="1:99" s="120" customFormat="1">
      <c r="A51" s="303">
        <v>24</v>
      </c>
      <c r="B51" s="307" t="s">
        <v>296</v>
      </c>
      <c r="C51" s="312" t="s">
        <v>324</v>
      </c>
      <c r="D51" s="303">
        <v>1</v>
      </c>
      <c r="E51" s="305">
        <f>VLOOKUP(G51,'Produtos Grupo D'!A:F,6,0)*12</f>
        <v>6935.9812571260381</v>
      </c>
      <c r="F51" s="305">
        <f t="shared" si="7"/>
        <v>6935.9812571260381</v>
      </c>
      <c r="G51" s="304" t="str">
        <f t="shared" si="6"/>
        <v>valor mês produto 24</v>
      </c>
      <c r="H51" s="228"/>
      <c r="I51" s="129"/>
      <c r="J51" s="129"/>
      <c r="K51" s="129"/>
      <c r="L51" s="129"/>
      <c r="M51" s="129"/>
      <c r="N51" s="129"/>
      <c r="O51" s="129"/>
      <c r="P51" s="129"/>
      <c r="Q51" s="129"/>
      <c r="R51" s="129"/>
      <c r="S51" s="129"/>
      <c r="T51" s="129"/>
      <c r="U51" s="129"/>
      <c r="V51" s="129"/>
      <c r="W51" s="129"/>
      <c r="X51" s="129"/>
      <c r="Y51" s="129"/>
      <c r="Z51" s="129"/>
      <c r="AA51" s="129"/>
      <c r="AB51" s="129"/>
      <c r="AC51" s="129"/>
      <c r="AD51" s="129"/>
      <c r="AE51" s="129"/>
      <c r="AF51" s="129"/>
      <c r="AG51" s="129"/>
      <c r="AH51" s="129"/>
      <c r="AI51" s="129"/>
      <c r="AJ51" s="129"/>
      <c r="AK51" s="129"/>
      <c r="AL51" s="129"/>
      <c r="AM51" s="129"/>
      <c r="AN51" s="129"/>
      <c r="AO51" s="129"/>
      <c r="AP51" s="129"/>
      <c r="AQ51" s="129"/>
      <c r="AR51" s="129"/>
      <c r="AS51" s="129"/>
      <c r="AT51" s="129"/>
      <c r="AU51" s="129"/>
      <c r="AV51" s="129"/>
      <c r="AW51" s="129"/>
      <c r="AX51" s="129"/>
      <c r="AY51" s="129"/>
      <c r="AZ51" s="129"/>
      <c r="BA51" s="129"/>
      <c r="BB51" s="129"/>
      <c r="BC51" s="129"/>
      <c r="BD51" s="129"/>
      <c r="BE51" s="129"/>
      <c r="BF51" s="129"/>
      <c r="BG51" s="129"/>
      <c r="BH51" s="129"/>
      <c r="BI51" s="129"/>
      <c r="BJ51" s="129"/>
      <c r="BK51" s="129"/>
      <c r="BL51" s="129"/>
      <c r="BM51" s="129"/>
      <c r="BN51" s="129"/>
      <c r="BO51" s="129"/>
      <c r="BP51" s="129"/>
      <c r="BQ51" s="129"/>
      <c r="BR51" s="129"/>
      <c r="BS51" s="129"/>
      <c r="BT51" s="129"/>
      <c r="BU51" s="129"/>
      <c r="BV51" s="129"/>
      <c r="BW51" s="129"/>
      <c r="BX51" s="129"/>
      <c r="BY51" s="129"/>
      <c r="BZ51" s="129"/>
      <c r="CA51" s="129"/>
      <c r="CB51" s="129"/>
      <c r="CC51" s="129"/>
      <c r="CD51" s="129"/>
      <c r="CE51" s="129"/>
      <c r="CF51" s="129"/>
      <c r="CG51" s="129"/>
      <c r="CH51" s="129"/>
      <c r="CI51" s="129"/>
      <c r="CJ51" s="129"/>
      <c r="CK51" s="129"/>
      <c r="CL51" s="129"/>
      <c r="CM51" s="129"/>
      <c r="CN51" s="129"/>
      <c r="CO51" s="129"/>
      <c r="CP51" s="129"/>
      <c r="CQ51" s="129"/>
      <c r="CR51" s="129"/>
      <c r="CS51" s="129"/>
      <c r="CT51" s="129"/>
      <c r="CU51" s="129"/>
    </row>
    <row r="52" spans="1:99" s="120" customFormat="1">
      <c r="A52" s="303">
        <v>25</v>
      </c>
      <c r="B52" s="307" t="s">
        <v>297</v>
      </c>
      <c r="C52" s="312" t="s">
        <v>324</v>
      </c>
      <c r="D52" s="303">
        <v>1</v>
      </c>
      <c r="E52" s="305">
        <f>VLOOKUP(G52,'Produtos Grupo D'!A:F,6,0)*12</f>
        <v>6935.9812571260381</v>
      </c>
      <c r="F52" s="305">
        <f t="shared" si="7"/>
        <v>6935.9812571260381</v>
      </c>
      <c r="G52" s="304" t="str">
        <f t="shared" si="6"/>
        <v>valor mês produto 25</v>
      </c>
      <c r="H52" s="228"/>
      <c r="I52" s="129"/>
      <c r="J52" s="129"/>
      <c r="K52" s="129"/>
      <c r="L52" s="129"/>
      <c r="M52" s="129"/>
      <c r="N52" s="129"/>
      <c r="O52" s="129"/>
      <c r="P52" s="129"/>
      <c r="Q52" s="129"/>
      <c r="R52" s="129"/>
      <c r="S52" s="129"/>
      <c r="T52" s="129"/>
      <c r="U52" s="129"/>
      <c r="V52" s="129"/>
      <c r="W52" s="129"/>
      <c r="X52" s="129"/>
      <c r="Y52" s="129"/>
      <c r="Z52" s="129"/>
      <c r="AA52" s="129"/>
      <c r="AB52" s="129"/>
      <c r="AC52" s="129"/>
      <c r="AD52" s="129"/>
      <c r="AE52" s="129"/>
      <c r="AF52" s="129"/>
      <c r="AG52" s="129"/>
      <c r="AH52" s="129"/>
      <c r="AI52" s="129"/>
      <c r="AJ52" s="129"/>
      <c r="AK52" s="129"/>
      <c r="AL52" s="129"/>
      <c r="AM52" s="129"/>
      <c r="AN52" s="129"/>
      <c r="AO52" s="129"/>
      <c r="AP52" s="129"/>
      <c r="AQ52" s="129"/>
      <c r="AR52" s="129"/>
      <c r="AS52" s="129"/>
      <c r="AT52" s="129"/>
      <c r="AU52" s="129"/>
      <c r="AV52" s="129"/>
      <c r="AW52" s="129"/>
      <c r="AX52" s="129"/>
      <c r="AY52" s="129"/>
      <c r="AZ52" s="129"/>
      <c r="BA52" s="129"/>
      <c r="BB52" s="129"/>
      <c r="BC52" s="129"/>
      <c r="BD52" s="129"/>
      <c r="BE52" s="129"/>
      <c r="BF52" s="129"/>
      <c r="BG52" s="129"/>
      <c r="BH52" s="129"/>
      <c r="BI52" s="129"/>
      <c r="BJ52" s="129"/>
      <c r="BK52" s="129"/>
      <c r="BL52" s="129"/>
      <c r="BM52" s="129"/>
      <c r="BN52" s="129"/>
      <c r="BO52" s="129"/>
      <c r="BP52" s="129"/>
      <c r="BQ52" s="129"/>
      <c r="BR52" s="129"/>
      <c r="BS52" s="129"/>
      <c r="BT52" s="129"/>
      <c r="BU52" s="129"/>
      <c r="BV52" s="129"/>
      <c r="BW52" s="129"/>
      <c r="BX52" s="129"/>
      <c r="BY52" s="129"/>
      <c r="BZ52" s="129"/>
      <c r="CA52" s="129"/>
      <c r="CB52" s="129"/>
      <c r="CC52" s="129"/>
      <c r="CD52" s="129"/>
      <c r="CE52" s="129"/>
      <c r="CF52" s="129"/>
      <c r="CG52" s="129"/>
      <c r="CH52" s="129"/>
      <c r="CI52" s="129"/>
      <c r="CJ52" s="129"/>
      <c r="CK52" s="129"/>
      <c r="CL52" s="129"/>
      <c r="CM52" s="129"/>
      <c r="CN52" s="129"/>
      <c r="CO52" s="129"/>
      <c r="CP52" s="129"/>
      <c r="CQ52" s="129"/>
      <c r="CR52" s="129"/>
      <c r="CS52" s="129"/>
      <c r="CT52" s="129"/>
      <c r="CU52" s="129"/>
    </row>
    <row r="53" spans="1:99" s="120" customFormat="1">
      <c r="A53" s="303">
        <v>26</v>
      </c>
      <c r="B53" s="307" t="s">
        <v>298</v>
      </c>
      <c r="C53" s="312" t="s">
        <v>324</v>
      </c>
      <c r="D53" s="303">
        <v>1</v>
      </c>
      <c r="E53" s="305">
        <f>VLOOKUP(G53,'Produtos Grupo D'!A:F,6,0)*12</f>
        <v>6935.9812571260381</v>
      </c>
      <c r="F53" s="305">
        <f t="shared" si="7"/>
        <v>6935.9812571260381</v>
      </c>
      <c r="G53" s="304" t="str">
        <f t="shared" si="6"/>
        <v>valor mês produto 26</v>
      </c>
      <c r="H53" s="228"/>
      <c r="I53" s="129"/>
      <c r="J53" s="129"/>
      <c r="K53" s="129"/>
      <c r="L53" s="129"/>
      <c r="M53" s="129"/>
      <c r="N53" s="129"/>
      <c r="O53" s="129"/>
      <c r="P53" s="129"/>
      <c r="Q53" s="129"/>
      <c r="R53" s="129"/>
      <c r="S53" s="129"/>
      <c r="T53" s="129"/>
      <c r="U53" s="129"/>
      <c r="V53" s="129"/>
      <c r="W53" s="129"/>
      <c r="X53" s="129"/>
      <c r="Y53" s="129"/>
      <c r="Z53" s="129"/>
      <c r="AA53" s="129"/>
      <c r="AB53" s="129"/>
      <c r="AC53" s="129"/>
      <c r="AD53" s="129"/>
      <c r="AE53" s="129"/>
      <c r="AF53" s="129"/>
      <c r="AG53" s="129"/>
      <c r="AH53" s="129"/>
      <c r="AI53" s="129"/>
      <c r="AJ53" s="129"/>
      <c r="AK53" s="129"/>
      <c r="AL53" s="129"/>
      <c r="AM53" s="129"/>
      <c r="AN53" s="129"/>
      <c r="AO53" s="129"/>
      <c r="AP53" s="129"/>
      <c r="AQ53" s="129"/>
      <c r="AR53" s="129"/>
      <c r="AS53" s="129"/>
      <c r="AT53" s="129"/>
      <c r="AU53" s="129"/>
      <c r="AV53" s="129"/>
      <c r="AW53" s="129"/>
      <c r="AX53" s="129"/>
      <c r="AY53" s="129"/>
      <c r="AZ53" s="129"/>
      <c r="BA53" s="129"/>
      <c r="BB53" s="129"/>
      <c r="BC53" s="129"/>
      <c r="BD53" s="129"/>
      <c r="BE53" s="129"/>
      <c r="BF53" s="129"/>
      <c r="BG53" s="129"/>
      <c r="BH53" s="129"/>
      <c r="BI53" s="129"/>
      <c r="BJ53" s="129"/>
      <c r="BK53" s="129"/>
      <c r="BL53" s="129"/>
      <c r="BM53" s="129"/>
      <c r="BN53" s="129"/>
      <c r="BO53" s="129"/>
      <c r="BP53" s="129"/>
      <c r="BQ53" s="129"/>
      <c r="BR53" s="129"/>
      <c r="BS53" s="129"/>
      <c r="BT53" s="129"/>
      <c r="BU53" s="129"/>
      <c r="BV53" s="129"/>
      <c r="BW53" s="129"/>
      <c r="BX53" s="129"/>
      <c r="BY53" s="129"/>
      <c r="BZ53" s="129"/>
      <c r="CA53" s="129"/>
      <c r="CB53" s="129"/>
      <c r="CC53" s="129"/>
      <c r="CD53" s="129"/>
      <c r="CE53" s="129"/>
      <c r="CF53" s="129"/>
      <c r="CG53" s="129"/>
      <c r="CH53" s="129"/>
      <c r="CI53" s="129"/>
      <c r="CJ53" s="129"/>
      <c r="CK53" s="129"/>
      <c r="CL53" s="129"/>
      <c r="CM53" s="129"/>
      <c r="CN53" s="129"/>
      <c r="CO53" s="129"/>
      <c r="CP53" s="129"/>
      <c r="CQ53" s="129"/>
      <c r="CR53" s="129"/>
      <c r="CS53" s="129"/>
      <c r="CT53" s="129"/>
      <c r="CU53" s="129"/>
    </row>
    <row r="54" spans="1:99" s="120" customFormat="1">
      <c r="A54" s="303">
        <v>27</v>
      </c>
      <c r="B54" s="307" t="s">
        <v>299</v>
      </c>
      <c r="C54" s="312" t="s">
        <v>324</v>
      </c>
      <c r="D54" s="303">
        <v>1</v>
      </c>
      <c r="E54" s="305">
        <f>VLOOKUP(G54,'Produtos Grupo D'!A:F,6,0)*12</f>
        <v>6935.9812571260381</v>
      </c>
      <c r="F54" s="305">
        <f t="shared" si="7"/>
        <v>6935.9812571260381</v>
      </c>
      <c r="G54" s="304" t="str">
        <f t="shared" si="6"/>
        <v>valor mês produto 27</v>
      </c>
      <c r="H54" s="228"/>
      <c r="I54" s="129"/>
      <c r="J54" s="129"/>
      <c r="K54" s="129"/>
      <c r="L54" s="129"/>
      <c r="M54" s="129"/>
      <c r="N54" s="129"/>
      <c r="O54" s="129"/>
      <c r="P54" s="129"/>
      <c r="Q54" s="129"/>
      <c r="R54" s="129"/>
      <c r="S54" s="129"/>
      <c r="T54" s="129"/>
      <c r="U54" s="129"/>
      <c r="V54" s="129"/>
      <c r="W54" s="129"/>
      <c r="X54" s="129"/>
      <c r="Y54" s="129"/>
      <c r="Z54" s="129"/>
      <c r="AA54" s="129"/>
      <c r="AB54" s="129"/>
      <c r="AC54" s="129"/>
      <c r="AD54" s="129"/>
      <c r="AE54" s="129"/>
      <c r="AF54" s="129"/>
      <c r="AG54" s="129"/>
      <c r="AH54" s="129"/>
      <c r="AI54" s="129"/>
      <c r="AJ54" s="129"/>
      <c r="AK54" s="129"/>
      <c r="AL54" s="129"/>
      <c r="AM54" s="129"/>
      <c r="AN54" s="129"/>
      <c r="AO54" s="129"/>
      <c r="AP54" s="129"/>
      <c r="AQ54" s="129"/>
      <c r="AR54" s="129"/>
      <c r="AS54" s="129"/>
      <c r="AT54" s="129"/>
      <c r="AU54" s="129"/>
      <c r="AV54" s="129"/>
      <c r="AW54" s="129"/>
      <c r="AX54" s="129"/>
      <c r="AY54" s="129"/>
      <c r="AZ54" s="129"/>
      <c r="BA54" s="129"/>
      <c r="BB54" s="129"/>
      <c r="BC54" s="129"/>
      <c r="BD54" s="129"/>
      <c r="BE54" s="129"/>
      <c r="BF54" s="129"/>
      <c r="BG54" s="129"/>
      <c r="BH54" s="129"/>
      <c r="BI54" s="129"/>
      <c r="BJ54" s="129"/>
      <c r="BK54" s="129"/>
      <c r="BL54" s="129"/>
      <c r="BM54" s="129"/>
      <c r="BN54" s="129"/>
      <c r="BO54" s="129"/>
      <c r="BP54" s="129"/>
      <c r="BQ54" s="129"/>
      <c r="BR54" s="129"/>
      <c r="BS54" s="129"/>
      <c r="BT54" s="129"/>
      <c r="BU54" s="129"/>
      <c r="BV54" s="129"/>
      <c r="BW54" s="129"/>
      <c r="BX54" s="129"/>
      <c r="BY54" s="129"/>
      <c r="BZ54" s="129"/>
      <c r="CA54" s="129"/>
      <c r="CB54" s="129"/>
      <c r="CC54" s="129"/>
      <c r="CD54" s="129"/>
      <c r="CE54" s="129"/>
      <c r="CF54" s="129"/>
      <c r="CG54" s="129"/>
      <c r="CH54" s="129"/>
      <c r="CI54" s="129"/>
      <c r="CJ54" s="129"/>
      <c r="CK54" s="129"/>
      <c r="CL54" s="129"/>
      <c r="CM54" s="129"/>
      <c r="CN54" s="129"/>
      <c r="CO54" s="129"/>
      <c r="CP54" s="129"/>
      <c r="CQ54" s="129"/>
      <c r="CR54" s="129"/>
      <c r="CS54" s="129"/>
      <c r="CT54" s="129"/>
      <c r="CU54" s="129"/>
    </row>
    <row r="55" spans="1:99" s="120" customFormat="1">
      <c r="A55" s="303">
        <v>28</v>
      </c>
      <c r="B55" s="307" t="s">
        <v>300</v>
      </c>
      <c r="C55" s="312" t="s">
        <v>324</v>
      </c>
      <c r="D55" s="303">
        <v>1</v>
      </c>
      <c r="E55" s="305">
        <f>VLOOKUP(G55,'Produtos Grupo D'!A:F,6,0)*12</f>
        <v>6935.9812571260381</v>
      </c>
      <c r="F55" s="305">
        <f t="shared" si="7"/>
        <v>6935.9812571260381</v>
      </c>
      <c r="G55" s="304" t="str">
        <f t="shared" si="6"/>
        <v>valor mês produto 28</v>
      </c>
      <c r="H55" s="228"/>
      <c r="I55" s="129"/>
      <c r="J55" s="129"/>
      <c r="K55" s="129"/>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c r="AJ55" s="129"/>
      <c r="AK55" s="129"/>
      <c r="AL55" s="129"/>
      <c r="AM55" s="129"/>
      <c r="AN55" s="129"/>
      <c r="AO55" s="129"/>
      <c r="AP55" s="129"/>
      <c r="AQ55" s="129"/>
      <c r="AR55" s="129"/>
      <c r="AS55" s="129"/>
      <c r="AT55" s="129"/>
      <c r="AU55" s="129"/>
      <c r="AV55" s="129"/>
      <c r="AW55" s="129"/>
      <c r="AX55" s="129"/>
      <c r="AY55" s="129"/>
      <c r="AZ55" s="129"/>
      <c r="BA55" s="129"/>
      <c r="BB55" s="129"/>
      <c r="BC55" s="129"/>
      <c r="BD55" s="129"/>
      <c r="BE55" s="129"/>
      <c r="BF55" s="129"/>
      <c r="BG55" s="129"/>
      <c r="BH55" s="129"/>
      <c r="BI55" s="129"/>
      <c r="BJ55" s="129"/>
      <c r="BK55" s="129"/>
      <c r="BL55" s="129"/>
      <c r="BM55" s="129"/>
      <c r="BN55" s="129"/>
      <c r="BO55" s="129"/>
      <c r="BP55" s="129"/>
      <c r="BQ55" s="129"/>
      <c r="BR55" s="129"/>
      <c r="BS55" s="129"/>
      <c r="BT55" s="129"/>
      <c r="BU55" s="129"/>
      <c r="BV55" s="129"/>
      <c r="BW55" s="129"/>
      <c r="BX55" s="129"/>
      <c r="BY55" s="129"/>
      <c r="BZ55" s="129"/>
      <c r="CA55" s="129"/>
      <c r="CB55" s="129"/>
      <c r="CC55" s="129"/>
      <c r="CD55" s="129"/>
      <c r="CE55" s="129"/>
      <c r="CF55" s="129"/>
      <c r="CG55" s="129"/>
      <c r="CH55" s="129"/>
      <c r="CI55" s="129"/>
      <c r="CJ55" s="129"/>
      <c r="CK55" s="129"/>
      <c r="CL55" s="129"/>
      <c r="CM55" s="129"/>
      <c r="CN55" s="129"/>
      <c r="CO55" s="129"/>
      <c r="CP55" s="129"/>
      <c r="CQ55" s="129"/>
      <c r="CR55" s="129"/>
      <c r="CS55" s="129"/>
      <c r="CT55" s="129"/>
      <c r="CU55" s="129"/>
    </row>
    <row r="56" spans="1:99" s="120" customFormat="1" ht="22.8">
      <c r="A56" s="303">
        <v>29</v>
      </c>
      <c r="B56" s="307" t="s">
        <v>301</v>
      </c>
      <c r="C56" s="312" t="s">
        <v>324</v>
      </c>
      <c r="D56" s="303">
        <v>1</v>
      </c>
      <c r="E56" s="305">
        <f>VLOOKUP(G56,'Produtos Grupo D'!A:F,6,0)*12</f>
        <v>6935.9812571260381</v>
      </c>
      <c r="F56" s="305">
        <f t="shared" si="7"/>
        <v>6935.9812571260381</v>
      </c>
      <c r="G56" s="304" t="str">
        <f t="shared" si="6"/>
        <v>valor mês produto 29</v>
      </c>
      <c r="H56" s="228"/>
      <c r="I56" s="129"/>
      <c r="J56" s="129"/>
      <c r="K56" s="129"/>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c r="AJ56" s="129"/>
      <c r="AK56" s="129"/>
      <c r="AL56" s="129"/>
      <c r="AM56" s="129"/>
      <c r="AN56" s="129"/>
      <c r="AO56" s="129"/>
      <c r="AP56" s="129"/>
      <c r="AQ56" s="129"/>
      <c r="AR56" s="129"/>
      <c r="AS56" s="129"/>
      <c r="AT56" s="129"/>
      <c r="AU56" s="129"/>
      <c r="AV56" s="129"/>
      <c r="AW56" s="129"/>
      <c r="AX56" s="129"/>
      <c r="AY56" s="129"/>
      <c r="AZ56" s="129"/>
      <c r="BA56" s="129"/>
      <c r="BB56" s="129"/>
      <c r="BC56" s="129"/>
      <c r="BD56" s="129"/>
      <c r="BE56" s="129"/>
      <c r="BF56" s="129"/>
      <c r="BG56" s="129"/>
      <c r="BH56" s="129"/>
      <c r="BI56" s="129"/>
      <c r="BJ56" s="129"/>
      <c r="BK56" s="129"/>
      <c r="BL56" s="129"/>
      <c r="BM56" s="129"/>
      <c r="BN56" s="129"/>
      <c r="BO56" s="129"/>
      <c r="BP56" s="129"/>
      <c r="BQ56" s="129"/>
      <c r="BR56" s="129"/>
      <c r="BS56" s="129"/>
      <c r="BT56" s="129"/>
      <c r="BU56" s="129"/>
      <c r="BV56" s="129"/>
      <c r="BW56" s="129"/>
      <c r="BX56" s="129"/>
      <c r="BY56" s="129"/>
      <c r="BZ56" s="129"/>
      <c r="CA56" s="129"/>
      <c r="CB56" s="129"/>
      <c r="CC56" s="129"/>
      <c r="CD56" s="129"/>
      <c r="CE56" s="129"/>
      <c r="CF56" s="129"/>
      <c r="CG56" s="129"/>
      <c r="CH56" s="129"/>
      <c r="CI56" s="129"/>
      <c r="CJ56" s="129"/>
      <c r="CK56" s="129"/>
      <c r="CL56" s="129"/>
      <c r="CM56" s="129"/>
      <c r="CN56" s="129"/>
      <c r="CO56" s="129"/>
      <c r="CP56" s="129"/>
      <c r="CQ56" s="129"/>
      <c r="CR56" s="129"/>
      <c r="CS56" s="129"/>
      <c r="CT56" s="129"/>
      <c r="CU56" s="129"/>
    </row>
    <row r="57" spans="1:99" s="120" customFormat="1">
      <c r="A57" s="303">
        <v>30</v>
      </c>
      <c r="B57" s="307" t="s">
        <v>302</v>
      </c>
      <c r="C57" s="312" t="s">
        <v>324</v>
      </c>
      <c r="D57" s="303">
        <v>1</v>
      </c>
      <c r="E57" s="305">
        <f>VLOOKUP(G57,'Produtos Grupo D'!A:F,6,0)*12</f>
        <v>6935.9812571260381</v>
      </c>
      <c r="F57" s="305">
        <f t="shared" si="7"/>
        <v>6935.9812571260381</v>
      </c>
      <c r="G57" s="304" t="str">
        <f t="shared" si="6"/>
        <v>valor mês produto 30</v>
      </c>
      <c r="H57" s="228"/>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29"/>
      <c r="BO57" s="129"/>
      <c r="BP57" s="129"/>
      <c r="BQ57" s="129"/>
      <c r="BR57" s="129"/>
      <c r="BS57" s="129"/>
      <c r="BT57" s="129"/>
      <c r="BU57" s="129"/>
      <c r="BV57" s="129"/>
      <c r="BW57" s="129"/>
      <c r="BX57" s="129"/>
      <c r="BY57" s="129"/>
      <c r="BZ57" s="129"/>
      <c r="CA57" s="129"/>
      <c r="CB57" s="129"/>
      <c r="CC57" s="129"/>
      <c r="CD57" s="129"/>
      <c r="CE57" s="129"/>
      <c r="CF57" s="129"/>
      <c r="CG57" s="129"/>
      <c r="CH57" s="129"/>
      <c r="CI57" s="129"/>
      <c r="CJ57" s="129"/>
      <c r="CK57" s="129"/>
      <c r="CL57" s="129"/>
      <c r="CM57" s="129"/>
      <c r="CN57" s="129"/>
      <c r="CO57" s="129"/>
      <c r="CP57" s="129"/>
      <c r="CQ57" s="129"/>
      <c r="CR57" s="129"/>
      <c r="CS57" s="129"/>
      <c r="CT57" s="129"/>
      <c r="CU57" s="129"/>
    </row>
    <row r="58" spans="1:99" s="120" customFormat="1">
      <c r="A58" s="303">
        <v>31</v>
      </c>
      <c r="B58" s="307" t="s">
        <v>303</v>
      </c>
      <c r="C58" s="312" t="s">
        <v>324</v>
      </c>
      <c r="D58" s="303">
        <v>1</v>
      </c>
      <c r="E58" s="305">
        <f>VLOOKUP(G58,'Produtos Grupo D'!A:F,6,0)*12</f>
        <v>6935.9812571260381</v>
      </c>
      <c r="F58" s="305">
        <f t="shared" si="7"/>
        <v>6935.9812571260381</v>
      </c>
      <c r="G58" s="304" t="str">
        <f t="shared" si="6"/>
        <v>valor mês produto 31</v>
      </c>
      <c r="H58" s="228"/>
      <c r="I58" s="129"/>
      <c r="J58" s="129"/>
      <c r="K58" s="129"/>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29"/>
      <c r="AJ58" s="129"/>
      <c r="AK58" s="129"/>
      <c r="AL58" s="129"/>
      <c r="AM58" s="129"/>
      <c r="AN58" s="129"/>
      <c r="AO58" s="129"/>
      <c r="AP58" s="129"/>
      <c r="AQ58" s="129"/>
      <c r="AR58" s="129"/>
      <c r="AS58" s="129"/>
      <c r="AT58" s="129"/>
      <c r="AU58" s="129"/>
      <c r="AV58" s="129"/>
      <c r="AW58" s="129"/>
      <c r="AX58" s="129"/>
      <c r="AY58" s="129"/>
      <c r="AZ58" s="129"/>
      <c r="BA58" s="129"/>
      <c r="BB58" s="129"/>
      <c r="BC58" s="129"/>
      <c r="BD58" s="129"/>
      <c r="BE58" s="129"/>
      <c r="BF58" s="129"/>
      <c r="BG58" s="129"/>
      <c r="BH58" s="129"/>
      <c r="BI58" s="129"/>
      <c r="BJ58" s="129"/>
      <c r="BK58" s="129"/>
      <c r="BL58" s="129"/>
      <c r="BM58" s="129"/>
      <c r="BN58" s="129"/>
      <c r="BO58" s="129"/>
      <c r="BP58" s="129"/>
      <c r="BQ58" s="129"/>
      <c r="BR58" s="129"/>
      <c r="BS58" s="129"/>
      <c r="BT58" s="129"/>
      <c r="BU58" s="129"/>
      <c r="BV58" s="129"/>
      <c r="BW58" s="129"/>
      <c r="BX58" s="129"/>
      <c r="BY58" s="129"/>
      <c r="BZ58" s="129"/>
      <c r="CA58" s="129"/>
      <c r="CB58" s="129"/>
      <c r="CC58" s="129"/>
      <c r="CD58" s="129"/>
      <c r="CE58" s="129"/>
      <c r="CF58" s="129"/>
      <c r="CG58" s="129"/>
      <c r="CH58" s="129"/>
      <c r="CI58" s="129"/>
      <c r="CJ58" s="129"/>
      <c r="CK58" s="129"/>
      <c r="CL58" s="129"/>
      <c r="CM58" s="129"/>
      <c r="CN58" s="129"/>
      <c r="CO58" s="129"/>
      <c r="CP58" s="129"/>
      <c r="CQ58" s="129"/>
      <c r="CR58" s="129"/>
      <c r="CS58" s="129"/>
      <c r="CT58" s="129"/>
      <c r="CU58" s="129"/>
    </row>
    <row r="59" spans="1:99" s="120" customFormat="1">
      <c r="A59" s="303">
        <v>32</v>
      </c>
      <c r="B59" s="307" t="s">
        <v>304</v>
      </c>
      <c r="C59" s="312" t="s">
        <v>324</v>
      </c>
      <c r="D59" s="303">
        <v>1</v>
      </c>
      <c r="E59" s="305">
        <f>VLOOKUP(G59,'Produtos Grupo D'!A:F,6,0)*12</f>
        <v>6935.9812571260381</v>
      </c>
      <c r="F59" s="305">
        <f t="shared" si="7"/>
        <v>6935.9812571260381</v>
      </c>
      <c r="G59" s="304" t="str">
        <f t="shared" si="6"/>
        <v>valor mês produto 32</v>
      </c>
      <c r="H59" s="228"/>
      <c r="I59" s="129"/>
      <c r="J59" s="129"/>
      <c r="K59" s="129"/>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29"/>
      <c r="AJ59" s="129"/>
      <c r="AK59" s="129"/>
      <c r="AL59" s="129"/>
      <c r="AM59" s="129"/>
      <c r="AN59" s="129"/>
      <c r="AO59" s="129"/>
      <c r="AP59" s="129"/>
      <c r="AQ59" s="129"/>
      <c r="AR59" s="129"/>
      <c r="AS59" s="129"/>
      <c r="AT59" s="129"/>
      <c r="AU59" s="129"/>
      <c r="AV59" s="129"/>
      <c r="AW59" s="129"/>
      <c r="AX59" s="129"/>
      <c r="AY59" s="129"/>
      <c r="AZ59" s="129"/>
      <c r="BA59" s="129"/>
      <c r="BB59" s="129"/>
      <c r="BC59" s="129"/>
      <c r="BD59" s="129"/>
      <c r="BE59" s="129"/>
      <c r="BF59" s="129"/>
      <c r="BG59" s="129"/>
      <c r="BH59" s="129"/>
      <c r="BI59" s="129"/>
      <c r="BJ59" s="129"/>
      <c r="BK59" s="129"/>
      <c r="BL59" s="129"/>
      <c r="BM59" s="129"/>
      <c r="BN59" s="129"/>
      <c r="BO59" s="129"/>
      <c r="BP59" s="129"/>
      <c r="BQ59" s="129"/>
      <c r="BR59" s="129"/>
      <c r="BS59" s="129"/>
      <c r="BT59" s="129"/>
      <c r="BU59" s="129"/>
      <c r="BV59" s="129"/>
      <c r="BW59" s="129"/>
      <c r="BX59" s="129"/>
      <c r="BY59" s="129"/>
      <c r="BZ59" s="129"/>
      <c r="CA59" s="129"/>
      <c r="CB59" s="129"/>
      <c r="CC59" s="129"/>
      <c r="CD59" s="129"/>
      <c r="CE59" s="129"/>
      <c r="CF59" s="129"/>
      <c r="CG59" s="129"/>
      <c r="CH59" s="129"/>
      <c r="CI59" s="129"/>
      <c r="CJ59" s="129"/>
      <c r="CK59" s="129"/>
      <c r="CL59" s="129"/>
      <c r="CM59" s="129"/>
      <c r="CN59" s="129"/>
      <c r="CO59" s="129"/>
      <c r="CP59" s="129"/>
      <c r="CQ59" s="129"/>
      <c r="CR59" s="129"/>
      <c r="CS59" s="129"/>
      <c r="CT59" s="129"/>
      <c r="CU59" s="129"/>
    </row>
    <row r="60" spans="1:99" s="120" customFormat="1">
      <c r="A60" s="303">
        <v>33</v>
      </c>
      <c r="B60" s="307" t="s">
        <v>305</v>
      </c>
      <c r="C60" s="312" t="s">
        <v>324</v>
      </c>
      <c r="D60" s="303">
        <v>1</v>
      </c>
      <c r="E60" s="305">
        <f>VLOOKUP(G60,'Produtos Grupo D'!A:F,6,0)*12</f>
        <v>6935.9812571260381</v>
      </c>
      <c r="F60" s="305">
        <f t="shared" si="7"/>
        <v>6935.9812571260381</v>
      </c>
      <c r="G60" s="304" t="str">
        <f t="shared" si="6"/>
        <v>valor mês produto 33</v>
      </c>
      <c r="H60" s="228"/>
      <c r="I60" s="129"/>
      <c r="J60" s="129"/>
      <c r="K60" s="129"/>
      <c r="L60" s="129"/>
      <c r="M60" s="129"/>
      <c r="N60" s="129"/>
      <c r="O60" s="129"/>
      <c r="P60" s="129"/>
      <c r="Q60" s="129"/>
      <c r="R60" s="129"/>
      <c r="S60" s="129"/>
      <c r="T60" s="129"/>
      <c r="U60" s="129"/>
      <c r="V60" s="129"/>
      <c r="W60" s="129"/>
      <c r="X60" s="129"/>
      <c r="Y60" s="129"/>
      <c r="Z60" s="129"/>
      <c r="AA60" s="129"/>
      <c r="AB60" s="129"/>
      <c r="AC60" s="129"/>
      <c r="AD60" s="129"/>
      <c r="AE60" s="129"/>
      <c r="AF60" s="129"/>
      <c r="AG60" s="129"/>
      <c r="AH60" s="129"/>
      <c r="AI60" s="129"/>
      <c r="AJ60" s="129"/>
      <c r="AK60" s="129"/>
      <c r="AL60" s="129"/>
      <c r="AM60" s="129"/>
      <c r="AN60" s="129"/>
      <c r="AO60" s="129"/>
      <c r="AP60" s="129"/>
      <c r="AQ60" s="129"/>
      <c r="AR60" s="129"/>
      <c r="AS60" s="129"/>
      <c r="AT60" s="129"/>
      <c r="AU60" s="129"/>
      <c r="AV60" s="129"/>
      <c r="AW60" s="129"/>
      <c r="AX60" s="129"/>
      <c r="AY60" s="129"/>
      <c r="AZ60" s="129"/>
      <c r="BA60" s="129"/>
      <c r="BB60" s="129"/>
      <c r="BC60" s="129"/>
      <c r="BD60" s="129"/>
      <c r="BE60" s="129"/>
      <c r="BF60" s="129"/>
      <c r="BG60" s="129"/>
      <c r="BH60" s="129"/>
      <c r="BI60" s="129"/>
      <c r="BJ60" s="129"/>
      <c r="BK60" s="129"/>
      <c r="BL60" s="129"/>
      <c r="BM60" s="129"/>
      <c r="BN60" s="129"/>
      <c r="BO60" s="129"/>
      <c r="BP60" s="129"/>
      <c r="BQ60" s="129"/>
      <c r="BR60" s="129"/>
      <c r="BS60" s="129"/>
      <c r="BT60" s="129"/>
      <c r="BU60" s="129"/>
      <c r="BV60" s="129"/>
      <c r="BW60" s="129"/>
      <c r="BX60" s="129"/>
      <c r="BY60" s="129"/>
      <c r="BZ60" s="129"/>
      <c r="CA60" s="129"/>
      <c r="CB60" s="129"/>
      <c r="CC60" s="129"/>
      <c r="CD60" s="129"/>
      <c r="CE60" s="129"/>
      <c r="CF60" s="129"/>
      <c r="CG60" s="129"/>
      <c r="CH60" s="129"/>
      <c r="CI60" s="129"/>
      <c r="CJ60" s="129"/>
      <c r="CK60" s="129"/>
      <c r="CL60" s="129"/>
      <c r="CM60" s="129"/>
      <c r="CN60" s="129"/>
      <c r="CO60" s="129"/>
      <c r="CP60" s="129"/>
      <c r="CQ60" s="129"/>
      <c r="CR60" s="129"/>
      <c r="CS60" s="129"/>
      <c r="CT60" s="129"/>
      <c r="CU60" s="129"/>
    </row>
    <row r="61" spans="1:99" s="120" customFormat="1">
      <c r="A61" s="303">
        <v>34</v>
      </c>
      <c r="B61" s="307" t="s">
        <v>306</v>
      </c>
      <c r="C61" s="312" t="s">
        <v>324</v>
      </c>
      <c r="D61" s="303">
        <v>1</v>
      </c>
      <c r="E61" s="305">
        <f>VLOOKUP(G61,'Produtos Grupo D'!A:F,6,0)*12</f>
        <v>6935.9812571260381</v>
      </c>
      <c r="F61" s="305">
        <f t="shared" si="7"/>
        <v>6935.9812571260381</v>
      </c>
      <c r="G61" s="304" t="str">
        <f t="shared" si="6"/>
        <v>valor mês produto 34</v>
      </c>
      <c r="H61" s="228"/>
      <c r="I61" s="129"/>
      <c r="J61" s="129"/>
      <c r="K61" s="129"/>
      <c r="L61" s="129"/>
      <c r="M61" s="129"/>
      <c r="N61" s="129"/>
      <c r="O61" s="129"/>
      <c r="P61" s="129"/>
      <c r="Q61" s="129"/>
      <c r="R61" s="129"/>
      <c r="S61" s="129"/>
      <c r="T61" s="129"/>
      <c r="U61" s="129"/>
      <c r="V61" s="129"/>
      <c r="W61" s="129"/>
      <c r="X61" s="129"/>
      <c r="Y61" s="129"/>
      <c r="Z61" s="129"/>
      <c r="AA61" s="129"/>
      <c r="AB61" s="129"/>
      <c r="AC61" s="129"/>
      <c r="AD61" s="129"/>
      <c r="AE61" s="129"/>
      <c r="AF61" s="129"/>
      <c r="AG61" s="129"/>
      <c r="AH61" s="129"/>
      <c r="AI61" s="129"/>
      <c r="AJ61" s="129"/>
      <c r="AK61" s="129"/>
      <c r="AL61" s="129"/>
      <c r="AM61" s="129"/>
      <c r="AN61" s="129"/>
      <c r="AO61" s="129"/>
      <c r="AP61" s="129"/>
      <c r="AQ61" s="129"/>
      <c r="AR61" s="129"/>
      <c r="AS61" s="129"/>
      <c r="AT61" s="129"/>
      <c r="AU61" s="129"/>
      <c r="AV61" s="129"/>
      <c r="AW61" s="129"/>
      <c r="AX61" s="129"/>
      <c r="AY61" s="129"/>
      <c r="AZ61" s="129"/>
      <c r="BA61" s="129"/>
      <c r="BB61" s="129"/>
      <c r="BC61" s="129"/>
      <c r="BD61" s="129"/>
      <c r="BE61" s="129"/>
      <c r="BF61" s="129"/>
      <c r="BG61" s="129"/>
      <c r="BH61" s="129"/>
      <c r="BI61" s="129"/>
      <c r="BJ61" s="129"/>
      <c r="BK61" s="129"/>
      <c r="BL61" s="129"/>
      <c r="BM61" s="129"/>
      <c r="BN61" s="129"/>
      <c r="BO61" s="129"/>
      <c r="BP61" s="129"/>
      <c r="BQ61" s="129"/>
      <c r="BR61" s="129"/>
      <c r="BS61" s="129"/>
      <c r="BT61" s="129"/>
      <c r="BU61" s="129"/>
      <c r="BV61" s="129"/>
      <c r="BW61" s="129"/>
      <c r="BX61" s="129"/>
      <c r="BY61" s="129"/>
      <c r="BZ61" s="129"/>
      <c r="CA61" s="129"/>
      <c r="CB61" s="129"/>
      <c r="CC61" s="129"/>
      <c r="CD61" s="129"/>
      <c r="CE61" s="129"/>
      <c r="CF61" s="129"/>
      <c r="CG61" s="129"/>
      <c r="CH61" s="129"/>
      <c r="CI61" s="129"/>
      <c r="CJ61" s="129"/>
      <c r="CK61" s="129"/>
      <c r="CL61" s="129"/>
      <c r="CM61" s="129"/>
      <c r="CN61" s="129"/>
      <c r="CO61" s="129"/>
      <c r="CP61" s="129"/>
      <c r="CQ61" s="129"/>
      <c r="CR61" s="129"/>
      <c r="CS61" s="129"/>
      <c r="CT61" s="129"/>
      <c r="CU61" s="129"/>
    </row>
    <row r="62" spans="1:99" s="120" customFormat="1">
      <c r="B62" s="228"/>
      <c r="C62" s="228"/>
      <c r="D62" s="3"/>
      <c r="E62" s="228"/>
      <c r="F62" s="306">
        <f>SUM(F47:F61)</f>
        <v>104039.7188568906</v>
      </c>
      <c r="G62" s="3"/>
      <c r="H62" s="228"/>
      <c r="I62" s="129"/>
      <c r="J62" s="129"/>
      <c r="K62" s="129"/>
      <c r="L62" s="129"/>
      <c r="M62" s="129"/>
      <c r="N62" s="129"/>
      <c r="O62" s="129"/>
      <c r="P62" s="129"/>
      <c r="Q62" s="129"/>
      <c r="R62" s="129"/>
      <c r="S62" s="129"/>
      <c r="T62" s="129"/>
      <c r="U62" s="129"/>
      <c r="V62" s="129"/>
      <c r="W62" s="129"/>
      <c r="X62" s="129"/>
      <c r="Y62" s="129"/>
      <c r="Z62" s="129"/>
      <c r="AA62" s="129"/>
      <c r="AB62" s="129"/>
      <c r="AC62" s="129"/>
      <c r="AD62" s="129"/>
      <c r="AE62" s="129"/>
      <c r="AF62" s="129"/>
      <c r="AG62" s="129"/>
      <c r="AH62" s="129"/>
      <c r="AI62" s="129"/>
      <c r="AJ62" s="129"/>
      <c r="AK62" s="129"/>
      <c r="AL62" s="129"/>
      <c r="AM62" s="129"/>
      <c r="AN62" s="129"/>
      <c r="AO62" s="129"/>
      <c r="AP62" s="129"/>
      <c r="AQ62" s="129"/>
      <c r="AR62" s="129"/>
      <c r="AS62" s="129"/>
      <c r="AT62" s="129"/>
      <c r="AU62" s="129"/>
      <c r="AV62" s="129"/>
      <c r="AW62" s="129"/>
      <c r="AX62" s="129"/>
      <c r="AY62" s="129"/>
      <c r="AZ62" s="129"/>
      <c r="BA62" s="129"/>
      <c r="BB62" s="129"/>
      <c r="BC62" s="129"/>
      <c r="BD62" s="129"/>
      <c r="BE62" s="129"/>
      <c r="BF62" s="129"/>
      <c r="BG62" s="129"/>
      <c r="BH62" s="129"/>
      <c r="BI62" s="129"/>
      <c r="BJ62" s="129"/>
      <c r="BK62" s="129"/>
      <c r="BL62" s="129"/>
      <c r="BM62" s="129"/>
      <c r="BN62" s="129"/>
      <c r="BO62" s="129"/>
      <c r="BP62" s="129"/>
      <c r="BQ62" s="129"/>
      <c r="BR62" s="129"/>
      <c r="BS62" s="129"/>
      <c r="BT62" s="129"/>
      <c r="BU62" s="129"/>
      <c r="BV62" s="129"/>
      <c r="BW62" s="129"/>
      <c r="BX62" s="129"/>
      <c r="BY62" s="129"/>
      <c r="BZ62" s="129"/>
      <c r="CA62" s="129"/>
      <c r="CB62" s="129"/>
      <c r="CC62" s="129"/>
      <c r="CD62" s="129"/>
      <c r="CE62" s="129"/>
      <c r="CF62" s="129"/>
      <c r="CG62" s="129"/>
      <c r="CH62" s="129"/>
      <c r="CI62" s="129"/>
      <c r="CJ62" s="129"/>
      <c r="CK62" s="129"/>
      <c r="CL62" s="129"/>
      <c r="CM62" s="129"/>
      <c r="CN62" s="129"/>
      <c r="CO62" s="129"/>
      <c r="CP62" s="129"/>
      <c r="CQ62" s="129"/>
      <c r="CR62" s="129"/>
      <c r="CS62" s="129"/>
      <c r="CT62" s="129"/>
      <c r="CU62" s="129"/>
    </row>
    <row r="63" spans="1:99" s="120" customFormat="1">
      <c r="B63" s="228"/>
      <c r="C63" s="228"/>
      <c r="D63" s="3"/>
      <c r="E63" s="228"/>
      <c r="F63" s="228"/>
      <c r="G63" s="3"/>
      <c r="H63" s="228"/>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c r="AI63" s="129"/>
      <c r="AJ63" s="129"/>
      <c r="AK63" s="129"/>
      <c r="AL63" s="129"/>
      <c r="AM63" s="129"/>
      <c r="AN63" s="129"/>
      <c r="AO63" s="129"/>
      <c r="AP63" s="129"/>
      <c r="AQ63" s="129"/>
      <c r="AR63" s="129"/>
      <c r="AS63" s="129"/>
      <c r="AT63" s="129"/>
      <c r="AU63" s="129"/>
      <c r="AV63" s="129"/>
      <c r="AW63" s="129"/>
      <c r="AX63" s="129"/>
      <c r="AY63" s="129"/>
      <c r="AZ63" s="129"/>
      <c r="BA63" s="129"/>
      <c r="BB63" s="129"/>
      <c r="BC63" s="129"/>
      <c r="BD63" s="129"/>
      <c r="BE63" s="129"/>
      <c r="BF63" s="129"/>
      <c r="BG63" s="129"/>
      <c r="BH63" s="129"/>
      <c r="BI63" s="129"/>
      <c r="BJ63" s="129"/>
      <c r="BK63" s="129"/>
      <c r="BL63" s="129"/>
      <c r="BM63" s="129"/>
      <c r="BN63" s="129"/>
      <c r="BO63" s="129"/>
      <c r="BP63" s="129"/>
      <c r="BQ63" s="129"/>
      <c r="BR63" s="129"/>
      <c r="BS63" s="129"/>
      <c r="BT63" s="129"/>
      <c r="BU63" s="129"/>
      <c r="BV63" s="129"/>
      <c r="BW63" s="129"/>
      <c r="BX63" s="129"/>
      <c r="BY63" s="129"/>
      <c r="BZ63" s="129"/>
      <c r="CA63" s="129"/>
      <c r="CB63" s="129"/>
      <c r="CC63" s="129"/>
      <c r="CD63" s="129"/>
      <c r="CE63" s="129"/>
      <c r="CF63" s="129"/>
      <c r="CG63" s="129"/>
      <c r="CH63" s="129"/>
      <c r="CI63" s="129"/>
      <c r="CJ63" s="129"/>
      <c r="CK63" s="129"/>
      <c r="CL63" s="129"/>
      <c r="CM63" s="129"/>
      <c r="CN63" s="129"/>
      <c r="CO63" s="129"/>
      <c r="CP63" s="129"/>
      <c r="CQ63" s="129"/>
      <c r="CR63" s="129"/>
      <c r="CS63" s="129"/>
      <c r="CT63" s="129"/>
      <c r="CU63" s="129"/>
    </row>
    <row r="64" spans="1:99" s="120" customFormat="1">
      <c r="B64" s="228"/>
      <c r="C64" s="228"/>
      <c r="D64" s="3"/>
      <c r="E64" s="228"/>
      <c r="F64" s="228"/>
      <c r="G64" s="3"/>
      <c r="H64" s="228"/>
      <c r="I64" s="129"/>
      <c r="J64" s="129"/>
      <c r="K64" s="129"/>
      <c r="L64" s="129"/>
      <c r="M64" s="129"/>
      <c r="N64" s="129"/>
      <c r="O64" s="129"/>
      <c r="P64" s="129"/>
      <c r="Q64" s="129"/>
      <c r="R64" s="129"/>
      <c r="S64" s="129"/>
      <c r="T64" s="129"/>
      <c r="U64" s="129"/>
      <c r="V64" s="129"/>
      <c r="W64" s="129"/>
      <c r="X64" s="129"/>
      <c r="Y64" s="129"/>
      <c r="Z64" s="129"/>
      <c r="AA64" s="129"/>
      <c r="AB64" s="129"/>
      <c r="AC64" s="129"/>
      <c r="AD64" s="129"/>
      <c r="AE64" s="129"/>
      <c r="AF64" s="129"/>
      <c r="AG64" s="129"/>
      <c r="AH64" s="129"/>
      <c r="AI64" s="129"/>
      <c r="AJ64" s="129"/>
      <c r="AK64" s="129"/>
      <c r="AL64" s="129"/>
      <c r="AM64" s="129"/>
      <c r="AN64" s="129"/>
      <c r="AO64" s="129"/>
      <c r="AP64" s="129"/>
      <c r="AQ64" s="129"/>
      <c r="AR64" s="129"/>
      <c r="AS64" s="129"/>
      <c r="AT64" s="129"/>
      <c r="AU64" s="129"/>
      <c r="AV64" s="129"/>
      <c r="AW64" s="129"/>
      <c r="AX64" s="129"/>
      <c r="AY64" s="129"/>
      <c r="AZ64" s="129"/>
      <c r="BA64" s="129"/>
      <c r="BB64" s="129"/>
      <c r="BC64" s="129"/>
      <c r="BD64" s="129"/>
      <c r="BE64" s="129"/>
      <c r="BF64" s="129"/>
      <c r="BG64" s="129"/>
      <c r="BH64" s="129"/>
      <c r="BI64" s="129"/>
      <c r="BJ64" s="129"/>
      <c r="BK64" s="129"/>
      <c r="BL64" s="129"/>
      <c r="BM64" s="129"/>
      <c r="BN64" s="129"/>
      <c r="BO64" s="129"/>
      <c r="BP64" s="129"/>
      <c r="BQ64" s="129"/>
      <c r="BR64" s="129"/>
      <c r="BS64" s="129"/>
      <c r="BT64" s="129"/>
      <c r="BU64" s="129"/>
      <c r="BV64" s="129"/>
      <c r="BW64" s="129"/>
      <c r="BX64" s="129"/>
      <c r="BY64" s="129"/>
      <c r="BZ64" s="129"/>
      <c r="CA64" s="129"/>
      <c r="CB64" s="129"/>
      <c r="CC64" s="129"/>
      <c r="CD64" s="129"/>
      <c r="CE64" s="129"/>
      <c r="CF64" s="129"/>
      <c r="CG64" s="129"/>
      <c r="CH64" s="129"/>
      <c r="CI64" s="129"/>
      <c r="CJ64" s="129"/>
      <c r="CK64" s="129"/>
      <c r="CL64" s="129"/>
      <c r="CM64" s="129"/>
      <c r="CN64" s="129"/>
      <c r="CO64" s="129"/>
      <c r="CP64" s="129"/>
      <c r="CQ64" s="129"/>
      <c r="CR64" s="129"/>
      <c r="CS64" s="129"/>
      <c r="CT64" s="129"/>
      <c r="CU64" s="129"/>
    </row>
    <row r="65" spans="2:99" s="120" customFormat="1">
      <c r="B65" s="228"/>
      <c r="C65" s="228"/>
      <c r="D65" s="3"/>
      <c r="E65" s="228"/>
      <c r="F65" s="228"/>
      <c r="G65" s="3"/>
      <c r="H65" s="228"/>
      <c r="I65" s="129"/>
      <c r="J65" s="129"/>
      <c r="K65" s="129"/>
      <c r="L65" s="129"/>
      <c r="M65" s="129"/>
      <c r="N65" s="129"/>
      <c r="O65" s="129"/>
      <c r="P65" s="129"/>
      <c r="Q65" s="129"/>
      <c r="R65" s="129"/>
      <c r="S65" s="129"/>
      <c r="T65" s="129"/>
      <c r="U65" s="129"/>
      <c r="V65" s="129"/>
      <c r="W65" s="129"/>
      <c r="X65" s="129"/>
      <c r="Y65" s="129"/>
      <c r="Z65" s="129"/>
      <c r="AA65" s="129"/>
      <c r="AB65" s="129"/>
      <c r="AC65" s="129"/>
      <c r="AD65" s="129"/>
      <c r="AE65" s="129"/>
      <c r="AF65" s="129"/>
      <c r="AG65" s="129"/>
      <c r="AH65" s="129"/>
      <c r="AI65" s="129"/>
      <c r="AJ65" s="129"/>
      <c r="AK65" s="129"/>
      <c r="AL65" s="129"/>
      <c r="AM65" s="129"/>
      <c r="AN65" s="129"/>
      <c r="AO65" s="129"/>
      <c r="AP65" s="129"/>
      <c r="AQ65" s="129"/>
      <c r="AR65" s="129"/>
      <c r="AS65" s="129"/>
      <c r="AT65" s="129"/>
      <c r="AU65" s="129"/>
      <c r="AV65" s="129"/>
      <c r="AW65" s="129"/>
      <c r="AX65" s="129"/>
      <c r="AY65" s="129"/>
      <c r="AZ65" s="129"/>
      <c r="BA65" s="129"/>
      <c r="BB65" s="129"/>
      <c r="BC65" s="129"/>
      <c r="BD65" s="129"/>
      <c r="BE65" s="129"/>
      <c r="BF65" s="129"/>
      <c r="BG65" s="129"/>
      <c r="BH65" s="129"/>
      <c r="BI65" s="129"/>
      <c r="BJ65" s="129"/>
      <c r="BK65" s="129"/>
      <c r="BL65" s="129"/>
      <c r="BM65" s="129"/>
      <c r="BN65" s="129"/>
      <c r="BO65" s="129"/>
      <c r="BP65" s="129"/>
      <c r="BQ65" s="129"/>
      <c r="BR65" s="129"/>
      <c r="BS65" s="129"/>
      <c r="BT65" s="129"/>
      <c r="BU65" s="129"/>
      <c r="BV65" s="129"/>
      <c r="BW65" s="129"/>
      <c r="BX65" s="129"/>
      <c r="BY65" s="129"/>
      <c r="BZ65" s="129"/>
      <c r="CA65" s="129"/>
      <c r="CB65" s="129"/>
      <c r="CC65" s="129"/>
      <c r="CD65" s="129"/>
      <c r="CE65" s="129"/>
      <c r="CF65" s="129"/>
      <c r="CG65" s="129"/>
      <c r="CH65" s="129"/>
      <c r="CI65" s="129"/>
      <c r="CJ65" s="129"/>
      <c r="CK65" s="129"/>
      <c r="CL65" s="129"/>
      <c r="CM65" s="129"/>
      <c r="CN65" s="129"/>
      <c r="CO65" s="129"/>
      <c r="CP65" s="129"/>
      <c r="CQ65" s="129"/>
      <c r="CR65" s="129"/>
      <c r="CS65" s="129"/>
      <c r="CT65" s="129"/>
      <c r="CU65" s="129"/>
    </row>
    <row r="66" spans="2:99" s="120" customFormat="1">
      <c r="B66" s="228"/>
      <c r="C66" s="228"/>
      <c r="D66" s="3"/>
      <c r="E66" s="228"/>
      <c r="F66" s="228"/>
      <c r="G66" s="3"/>
      <c r="H66" s="228"/>
      <c r="I66" s="129"/>
      <c r="J66" s="129"/>
      <c r="K66" s="129"/>
      <c r="L66" s="129"/>
      <c r="M66" s="129"/>
      <c r="N66" s="129"/>
      <c r="O66" s="129"/>
      <c r="P66" s="129"/>
      <c r="Q66" s="129"/>
      <c r="R66" s="129"/>
      <c r="S66" s="129"/>
      <c r="T66" s="129"/>
      <c r="U66" s="129"/>
      <c r="V66" s="129"/>
      <c r="W66" s="129"/>
      <c r="X66" s="129"/>
      <c r="Y66" s="129"/>
      <c r="Z66" s="129"/>
      <c r="AA66" s="129"/>
      <c r="AB66" s="129"/>
      <c r="AC66" s="129"/>
      <c r="AD66" s="129"/>
      <c r="AE66" s="129"/>
      <c r="AF66" s="129"/>
      <c r="AG66" s="129"/>
      <c r="AH66" s="129"/>
      <c r="AI66" s="129"/>
      <c r="AJ66" s="129"/>
      <c r="AK66" s="129"/>
      <c r="AL66" s="129"/>
      <c r="AM66" s="129"/>
      <c r="AN66" s="129"/>
      <c r="AO66" s="129"/>
      <c r="AP66" s="129"/>
      <c r="AQ66" s="129"/>
      <c r="AR66" s="129"/>
      <c r="AS66" s="129"/>
      <c r="AT66" s="129"/>
      <c r="AU66" s="129"/>
      <c r="AV66" s="129"/>
      <c r="AW66" s="129"/>
      <c r="AX66" s="129"/>
      <c r="AY66" s="129"/>
      <c r="AZ66" s="129"/>
      <c r="BA66" s="129"/>
      <c r="BB66" s="129"/>
      <c r="BC66" s="129"/>
      <c r="BD66" s="129"/>
      <c r="BE66" s="129"/>
      <c r="BF66" s="129"/>
      <c r="BG66" s="129"/>
      <c r="BH66" s="129"/>
      <c r="BI66" s="129"/>
      <c r="BJ66" s="129"/>
      <c r="BK66" s="129"/>
      <c r="BL66" s="129"/>
      <c r="BM66" s="129"/>
      <c r="BN66" s="129"/>
      <c r="BO66" s="129"/>
      <c r="BP66" s="129"/>
      <c r="BQ66" s="129"/>
      <c r="BR66" s="129"/>
      <c r="BS66" s="129"/>
      <c r="BT66" s="129"/>
      <c r="BU66" s="129"/>
      <c r="BV66" s="129"/>
      <c r="BW66" s="129"/>
      <c r="BX66" s="129"/>
      <c r="BY66" s="129"/>
      <c r="BZ66" s="129"/>
      <c r="CA66" s="129"/>
      <c r="CB66" s="129"/>
      <c r="CC66" s="129"/>
      <c r="CD66" s="129"/>
      <c r="CE66" s="129"/>
      <c r="CF66" s="129"/>
      <c r="CG66" s="129"/>
      <c r="CH66" s="129"/>
      <c r="CI66" s="129"/>
      <c r="CJ66" s="129"/>
      <c r="CK66" s="129"/>
      <c r="CL66" s="129"/>
      <c r="CM66" s="129"/>
      <c r="CN66" s="129"/>
      <c r="CO66" s="129"/>
      <c r="CP66" s="129"/>
      <c r="CQ66" s="129"/>
      <c r="CR66" s="129"/>
      <c r="CS66" s="129"/>
      <c r="CT66" s="129"/>
      <c r="CU66" s="129"/>
    </row>
    <row r="67" spans="2:99" s="120" customFormat="1">
      <c r="B67" s="228"/>
      <c r="C67" s="228"/>
      <c r="D67" s="3"/>
      <c r="E67" s="228"/>
      <c r="F67" s="228"/>
      <c r="G67" s="3"/>
      <c r="H67" s="228"/>
      <c r="I67" s="129"/>
      <c r="J67" s="129"/>
      <c r="K67" s="129"/>
      <c r="L67" s="129"/>
      <c r="M67" s="129"/>
      <c r="N67" s="129"/>
      <c r="O67" s="129"/>
      <c r="P67" s="129"/>
      <c r="Q67" s="129"/>
      <c r="R67" s="129"/>
      <c r="S67" s="129"/>
      <c r="T67" s="129"/>
      <c r="U67" s="129"/>
      <c r="V67" s="129"/>
      <c r="W67" s="129"/>
      <c r="X67" s="129"/>
      <c r="Y67" s="129"/>
      <c r="Z67" s="129"/>
      <c r="AA67" s="129"/>
      <c r="AB67" s="129"/>
      <c r="AC67" s="129"/>
      <c r="AD67" s="129"/>
      <c r="AE67" s="129"/>
      <c r="AF67" s="129"/>
      <c r="AG67" s="129"/>
      <c r="AH67" s="129"/>
      <c r="AI67" s="129"/>
      <c r="AJ67" s="129"/>
      <c r="AK67" s="129"/>
      <c r="AL67" s="129"/>
      <c r="AM67" s="129"/>
      <c r="AN67" s="129"/>
      <c r="AO67" s="129"/>
      <c r="AP67" s="129"/>
      <c r="AQ67" s="129"/>
      <c r="AR67" s="129"/>
      <c r="AS67" s="129"/>
      <c r="AT67" s="129"/>
      <c r="AU67" s="129"/>
      <c r="AV67" s="129"/>
      <c r="AW67" s="129"/>
      <c r="AX67" s="129"/>
      <c r="AY67" s="129"/>
      <c r="AZ67" s="129"/>
      <c r="BA67" s="129"/>
      <c r="BB67" s="129"/>
      <c r="BC67" s="129"/>
      <c r="BD67" s="129"/>
      <c r="BE67" s="129"/>
      <c r="BF67" s="129"/>
      <c r="BG67" s="129"/>
      <c r="BH67" s="129"/>
      <c r="BI67" s="129"/>
      <c r="BJ67" s="129"/>
      <c r="BK67" s="129"/>
      <c r="BL67" s="129"/>
      <c r="BM67" s="129"/>
      <c r="BN67" s="129"/>
      <c r="BO67" s="129"/>
      <c r="BP67" s="129"/>
      <c r="BQ67" s="129"/>
      <c r="BR67" s="129"/>
      <c r="BS67" s="129"/>
      <c r="BT67" s="129"/>
      <c r="BU67" s="129"/>
      <c r="BV67" s="129"/>
      <c r="BW67" s="129"/>
      <c r="BX67" s="129"/>
      <c r="BY67" s="129"/>
      <c r="BZ67" s="129"/>
      <c r="CA67" s="129"/>
      <c r="CB67" s="129"/>
      <c r="CC67" s="129"/>
      <c r="CD67" s="129"/>
      <c r="CE67" s="129"/>
      <c r="CF67" s="129"/>
      <c r="CG67" s="129"/>
      <c r="CH67" s="129"/>
      <c r="CI67" s="129"/>
      <c r="CJ67" s="129"/>
      <c r="CK67" s="129"/>
      <c r="CL67" s="129"/>
      <c r="CM67" s="129"/>
      <c r="CN67" s="129"/>
      <c r="CO67" s="129"/>
      <c r="CP67" s="129"/>
      <c r="CQ67" s="129"/>
      <c r="CR67" s="129"/>
      <c r="CS67" s="129"/>
      <c r="CT67" s="129"/>
      <c r="CU67" s="129"/>
    </row>
    <row r="68" spans="2:99" s="120" customFormat="1">
      <c r="B68" s="228"/>
      <c r="C68" s="228"/>
      <c r="D68" s="3"/>
      <c r="E68" s="228"/>
      <c r="F68" s="228"/>
      <c r="G68" s="3"/>
      <c r="H68" s="228"/>
      <c r="I68" s="129"/>
      <c r="J68" s="129"/>
      <c r="K68" s="129"/>
      <c r="L68" s="129"/>
      <c r="M68" s="129"/>
      <c r="N68" s="129"/>
      <c r="O68" s="129"/>
      <c r="P68" s="129"/>
      <c r="Q68" s="129"/>
      <c r="R68" s="129"/>
      <c r="S68" s="129"/>
      <c r="T68" s="129"/>
      <c r="U68" s="129"/>
      <c r="V68" s="129"/>
      <c r="W68" s="129"/>
      <c r="X68" s="129"/>
      <c r="Y68" s="129"/>
      <c r="Z68" s="129"/>
      <c r="AA68" s="129"/>
      <c r="AB68" s="129"/>
      <c r="AC68" s="129"/>
      <c r="AD68" s="129"/>
      <c r="AE68" s="129"/>
      <c r="AF68" s="129"/>
      <c r="AG68" s="129"/>
      <c r="AH68" s="129"/>
      <c r="AI68" s="129"/>
      <c r="AJ68" s="129"/>
      <c r="AK68" s="129"/>
      <c r="AL68" s="129"/>
      <c r="AM68" s="129"/>
      <c r="AN68" s="129"/>
      <c r="AO68" s="129"/>
      <c r="AP68" s="129"/>
      <c r="AQ68" s="129"/>
      <c r="AR68" s="129"/>
      <c r="AS68" s="129"/>
      <c r="AT68" s="129"/>
      <c r="AU68" s="129"/>
      <c r="AV68" s="129"/>
      <c r="AW68" s="129"/>
      <c r="AX68" s="129"/>
      <c r="AY68" s="129"/>
      <c r="AZ68" s="129"/>
      <c r="BA68" s="129"/>
      <c r="BB68" s="129"/>
      <c r="BC68" s="129"/>
      <c r="BD68" s="129"/>
      <c r="BE68" s="129"/>
      <c r="BF68" s="129"/>
      <c r="BG68" s="129"/>
      <c r="BH68" s="129"/>
      <c r="BI68" s="129"/>
      <c r="BJ68" s="129"/>
      <c r="BK68" s="129"/>
      <c r="BL68" s="129"/>
      <c r="BM68" s="129"/>
      <c r="BN68" s="129"/>
      <c r="BO68" s="129"/>
      <c r="BP68" s="129"/>
      <c r="BQ68" s="129"/>
      <c r="BR68" s="129"/>
      <c r="BS68" s="129"/>
      <c r="BT68" s="129"/>
      <c r="BU68" s="129"/>
      <c r="BV68" s="129"/>
      <c r="BW68" s="129"/>
      <c r="BX68" s="129"/>
      <c r="BY68" s="129"/>
      <c r="BZ68" s="129"/>
      <c r="CA68" s="129"/>
      <c r="CB68" s="129"/>
      <c r="CC68" s="129"/>
      <c r="CD68" s="129"/>
      <c r="CE68" s="129"/>
      <c r="CF68" s="129"/>
      <c r="CG68" s="129"/>
      <c r="CH68" s="129"/>
      <c r="CI68" s="129"/>
      <c r="CJ68" s="129"/>
      <c r="CK68" s="129"/>
      <c r="CL68" s="129"/>
      <c r="CM68" s="129"/>
      <c r="CN68" s="129"/>
      <c r="CO68" s="129"/>
      <c r="CP68" s="129"/>
      <c r="CQ68" s="129"/>
      <c r="CR68" s="129"/>
      <c r="CS68" s="129"/>
      <c r="CT68" s="129"/>
      <c r="CU68" s="129"/>
    </row>
    <row r="69" spans="2:99" s="120" customFormat="1">
      <c r="B69" s="228"/>
      <c r="C69" s="228"/>
      <c r="D69" s="3"/>
      <c r="E69" s="228"/>
      <c r="F69" s="228"/>
      <c r="G69" s="3"/>
      <c r="H69" s="228"/>
      <c r="I69" s="129"/>
      <c r="J69" s="129"/>
      <c r="K69" s="129"/>
      <c r="L69" s="129"/>
      <c r="M69" s="129"/>
      <c r="N69" s="129"/>
      <c r="O69" s="129"/>
      <c r="P69" s="129"/>
      <c r="Q69" s="129"/>
      <c r="R69" s="129"/>
      <c r="S69" s="129"/>
      <c r="T69" s="129"/>
      <c r="U69" s="129"/>
      <c r="V69" s="129"/>
      <c r="W69" s="129"/>
      <c r="X69" s="129"/>
      <c r="Y69" s="129"/>
      <c r="Z69" s="129"/>
      <c r="AA69" s="129"/>
      <c r="AB69" s="129"/>
      <c r="AC69" s="129"/>
      <c r="AD69" s="129"/>
      <c r="AE69" s="129"/>
      <c r="AF69" s="129"/>
      <c r="AG69" s="129"/>
      <c r="AH69" s="129"/>
      <c r="AI69" s="129"/>
      <c r="AJ69" s="129"/>
      <c r="AK69" s="129"/>
      <c r="AL69" s="129"/>
      <c r="AM69" s="129"/>
      <c r="AN69" s="129"/>
      <c r="AO69" s="129"/>
      <c r="AP69" s="129"/>
      <c r="AQ69" s="129"/>
      <c r="AR69" s="129"/>
      <c r="AS69" s="129"/>
      <c r="AT69" s="129"/>
      <c r="AU69" s="129"/>
      <c r="AV69" s="129"/>
      <c r="AW69" s="129"/>
      <c r="AX69" s="129"/>
      <c r="AY69" s="129"/>
      <c r="AZ69" s="129"/>
      <c r="BA69" s="129"/>
      <c r="BB69" s="129"/>
      <c r="BC69" s="129"/>
      <c r="BD69" s="129"/>
      <c r="BE69" s="129"/>
      <c r="BF69" s="129"/>
      <c r="BG69" s="129"/>
      <c r="BH69" s="129"/>
      <c r="BI69" s="129"/>
      <c r="BJ69" s="129"/>
      <c r="BK69" s="129"/>
      <c r="BL69" s="129"/>
      <c r="BM69" s="129"/>
      <c r="BN69" s="129"/>
      <c r="BO69" s="129"/>
      <c r="BP69" s="129"/>
      <c r="BQ69" s="129"/>
      <c r="BR69" s="129"/>
      <c r="BS69" s="129"/>
      <c r="BT69" s="129"/>
      <c r="BU69" s="129"/>
      <c r="BV69" s="129"/>
      <c r="BW69" s="129"/>
      <c r="BX69" s="129"/>
      <c r="BY69" s="129"/>
      <c r="BZ69" s="129"/>
      <c r="CA69" s="129"/>
      <c r="CB69" s="129"/>
      <c r="CC69" s="129"/>
      <c r="CD69" s="129"/>
      <c r="CE69" s="129"/>
      <c r="CF69" s="129"/>
      <c r="CG69" s="129"/>
      <c r="CH69" s="129"/>
      <c r="CI69" s="129"/>
      <c r="CJ69" s="129"/>
      <c r="CK69" s="129"/>
      <c r="CL69" s="129"/>
      <c r="CM69" s="129"/>
      <c r="CN69" s="129"/>
      <c r="CO69" s="129"/>
      <c r="CP69" s="129"/>
      <c r="CQ69" s="129"/>
      <c r="CR69" s="129"/>
      <c r="CS69" s="129"/>
      <c r="CT69" s="129"/>
      <c r="CU69" s="129"/>
    </row>
    <row r="70" spans="2:99" s="120" customFormat="1">
      <c r="B70" s="228"/>
      <c r="C70" s="228"/>
      <c r="D70" s="3"/>
      <c r="E70" s="228"/>
      <c r="F70" s="228"/>
      <c r="G70" s="3"/>
      <c r="H70" s="228"/>
      <c r="I70" s="129"/>
      <c r="J70" s="129"/>
      <c r="K70" s="129"/>
      <c r="L70" s="129"/>
      <c r="M70" s="129"/>
      <c r="N70" s="129"/>
      <c r="O70" s="129"/>
      <c r="P70" s="129"/>
      <c r="Q70" s="129"/>
      <c r="R70" s="129"/>
      <c r="S70" s="129"/>
      <c r="T70" s="129"/>
      <c r="U70" s="129"/>
      <c r="V70" s="129"/>
      <c r="W70" s="129"/>
      <c r="X70" s="129"/>
      <c r="Y70" s="129"/>
      <c r="Z70" s="129"/>
      <c r="AA70" s="129"/>
      <c r="AB70" s="129"/>
      <c r="AC70" s="129"/>
      <c r="AD70" s="129"/>
      <c r="AE70" s="129"/>
      <c r="AF70" s="129"/>
      <c r="AG70" s="129"/>
      <c r="AH70" s="129"/>
      <c r="AI70" s="129"/>
      <c r="AJ70" s="129"/>
      <c r="AK70" s="129"/>
      <c r="AL70" s="129"/>
      <c r="AM70" s="129"/>
      <c r="AN70" s="129"/>
      <c r="AO70" s="129"/>
      <c r="AP70" s="129"/>
      <c r="AQ70" s="129"/>
      <c r="AR70" s="129"/>
      <c r="AS70" s="129"/>
      <c r="AT70" s="129"/>
      <c r="AU70" s="129"/>
      <c r="AV70" s="129"/>
      <c r="AW70" s="129"/>
      <c r="AX70" s="129"/>
      <c r="AY70" s="129"/>
      <c r="AZ70" s="129"/>
      <c r="BA70" s="129"/>
      <c r="BB70" s="129"/>
      <c r="BC70" s="129"/>
      <c r="BD70" s="129"/>
      <c r="BE70" s="129"/>
      <c r="BF70" s="129"/>
      <c r="BG70" s="129"/>
      <c r="BH70" s="129"/>
      <c r="BI70" s="129"/>
      <c r="BJ70" s="129"/>
      <c r="BK70" s="129"/>
      <c r="BL70" s="129"/>
      <c r="BM70" s="129"/>
      <c r="BN70" s="129"/>
      <c r="BO70" s="129"/>
      <c r="BP70" s="129"/>
      <c r="BQ70" s="129"/>
      <c r="BR70" s="129"/>
      <c r="BS70" s="129"/>
      <c r="BT70" s="129"/>
      <c r="BU70" s="129"/>
      <c r="BV70" s="129"/>
      <c r="BW70" s="129"/>
      <c r="BX70" s="129"/>
      <c r="BY70" s="129"/>
      <c r="BZ70" s="129"/>
      <c r="CA70" s="129"/>
      <c r="CB70" s="129"/>
      <c r="CC70" s="129"/>
      <c r="CD70" s="129"/>
      <c r="CE70" s="129"/>
      <c r="CF70" s="129"/>
      <c r="CG70" s="129"/>
      <c r="CH70" s="129"/>
      <c r="CI70" s="129"/>
      <c r="CJ70" s="129"/>
      <c r="CK70" s="129"/>
      <c r="CL70" s="129"/>
      <c r="CM70" s="129"/>
      <c r="CN70" s="129"/>
      <c r="CO70" s="129"/>
      <c r="CP70" s="129"/>
      <c r="CQ70" s="129"/>
      <c r="CR70" s="129"/>
      <c r="CS70" s="129"/>
      <c r="CT70" s="129"/>
      <c r="CU70" s="129"/>
    </row>
    <row r="71" spans="2:99" s="120" customFormat="1">
      <c r="B71" s="228"/>
      <c r="C71" s="228"/>
      <c r="D71" s="3"/>
      <c r="E71" s="228"/>
      <c r="F71" s="228"/>
      <c r="G71" s="3"/>
      <c r="H71" s="228"/>
      <c r="I71" s="129"/>
      <c r="J71" s="129"/>
      <c r="K71" s="129"/>
      <c r="L71" s="129"/>
      <c r="M71" s="129"/>
      <c r="N71" s="129"/>
      <c r="O71" s="129"/>
      <c r="P71" s="129"/>
      <c r="Q71" s="129"/>
      <c r="R71" s="129"/>
      <c r="S71" s="129"/>
      <c r="T71" s="129"/>
      <c r="U71" s="129"/>
      <c r="V71" s="129"/>
      <c r="W71" s="129"/>
      <c r="X71" s="129"/>
      <c r="Y71" s="129"/>
      <c r="Z71" s="129"/>
      <c r="AA71" s="129"/>
      <c r="AB71" s="129"/>
      <c r="AC71" s="129"/>
      <c r="AD71" s="129"/>
      <c r="AE71" s="129"/>
      <c r="AF71" s="129"/>
      <c r="AG71" s="129"/>
      <c r="AH71" s="129"/>
      <c r="AI71" s="129"/>
      <c r="AJ71" s="129"/>
      <c r="AK71" s="129"/>
      <c r="AL71" s="129"/>
      <c r="AM71" s="129"/>
      <c r="AN71" s="129"/>
      <c r="AO71" s="129"/>
      <c r="AP71" s="129"/>
      <c r="AQ71" s="129"/>
      <c r="AR71" s="129"/>
      <c r="AS71" s="129"/>
      <c r="AT71" s="129"/>
      <c r="AU71" s="129"/>
      <c r="AV71" s="129"/>
      <c r="AW71" s="129"/>
      <c r="AX71" s="129"/>
      <c r="AY71" s="129"/>
      <c r="AZ71" s="129"/>
      <c r="BA71" s="129"/>
      <c r="BB71" s="129"/>
      <c r="BC71" s="129"/>
      <c r="BD71" s="129"/>
      <c r="BE71" s="129"/>
      <c r="BF71" s="129"/>
      <c r="BG71" s="129"/>
      <c r="BH71" s="129"/>
      <c r="BI71" s="129"/>
      <c r="BJ71" s="129"/>
      <c r="BK71" s="129"/>
      <c r="BL71" s="129"/>
      <c r="BM71" s="129"/>
      <c r="BN71" s="129"/>
      <c r="BO71" s="129"/>
      <c r="BP71" s="129"/>
      <c r="BQ71" s="129"/>
      <c r="BR71" s="129"/>
      <c r="BS71" s="129"/>
      <c r="BT71" s="129"/>
      <c r="BU71" s="129"/>
      <c r="BV71" s="129"/>
      <c r="BW71" s="129"/>
      <c r="BX71" s="129"/>
      <c r="BY71" s="129"/>
      <c r="BZ71" s="129"/>
      <c r="CA71" s="129"/>
      <c r="CB71" s="129"/>
      <c r="CC71" s="129"/>
      <c r="CD71" s="129"/>
      <c r="CE71" s="129"/>
      <c r="CF71" s="129"/>
      <c r="CG71" s="129"/>
      <c r="CH71" s="129"/>
      <c r="CI71" s="129"/>
      <c r="CJ71" s="129"/>
      <c r="CK71" s="129"/>
      <c r="CL71" s="129"/>
      <c r="CM71" s="129"/>
      <c r="CN71" s="129"/>
      <c r="CO71" s="129"/>
      <c r="CP71" s="129"/>
      <c r="CQ71" s="129"/>
      <c r="CR71" s="129"/>
      <c r="CS71" s="129"/>
      <c r="CT71" s="129"/>
      <c r="CU71" s="129"/>
    </row>
    <row r="72" spans="2:99" s="120" customFormat="1">
      <c r="B72" s="228"/>
      <c r="C72" s="228"/>
      <c r="D72" s="3"/>
      <c r="E72" s="228"/>
      <c r="F72" s="228"/>
      <c r="G72" s="3"/>
      <c r="H72" s="228"/>
      <c r="I72" s="129"/>
      <c r="J72" s="129"/>
      <c r="K72" s="129"/>
      <c r="L72" s="129"/>
      <c r="M72" s="129"/>
      <c r="N72" s="129"/>
      <c r="O72" s="129"/>
      <c r="P72" s="129"/>
      <c r="Q72" s="129"/>
      <c r="R72" s="129"/>
      <c r="S72" s="129"/>
      <c r="T72" s="129"/>
      <c r="U72" s="129"/>
      <c r="V72" s="129"/>
      <c r="W72" s="129"/>
      <c r="X72" s="129"/>
      <c r="Y72" s="129"/>
      <c r="Z72" s="129"/>
      <c r="AA72" s="129"/>
      <c r="AB72" s="129"/>
      <c r="AC72" s="129"/>
      <c r="AD72" s="129"/>
      <c r="AE72" s="129"/>
      <c r="AF72" s="129"/>
      <c r="AG72" s="129"/>
      <c r="AH72" s="129"/>
      <c r="AI72" s="129"/>
      <c r="AJ72" s="129"/>
      <c r="AK72" s="129"/>
      <c r="AL72" s="129"/>
      <c r="AM72" s="129"/>
      <c r="AN72" s="129"/>
      <c r="AO72" s="129"/>
      <c r="AP72" s="129"/>
      <c r="AQ72" s="129"/>
      <c r="AR72" s="129"/>
      <c r="AS72" s="129"/>
      <c r="AT72" s="129"/>
      <c r="AU72" s="129"/>
      <c r="AV72" s="129"/>
      <c r="AW72" s="129"/>
      <c r="AX72" s="129"/>
      <c r="AY72" s="129"/>
      <c r="AZ72" s="129"/>
      <c r="BA72" s="129"/>
      <c r="BB72" s="129"/>
      <c r="BC72" s="129"/>
      <c r="BD72" s="129"/>
      <c r="BE72" s="129"/>
      <c r="BF72" s="129"/>
      <c r="BG72" s="129"/>
      <c r="BH72" s="129"/>
      <c r="BI72" s="129"/>
      <c r="BJ72" s="129"/>
      <c r="BK72" s="129"/>
      <c r="BL72" s="129"/>
      <c r="BM72" s="129"/>
      <c r="BN72" s="129"/>
      <c r="BO72" s="129"/>
      <c r="BP72" s="129"/>
      <c r="BQ72" s="129"/>
      <c r="BR72" s="129"/>
      <c r="BS72" s="129"/>
      <c r="BT72" s="129"/>
      <c r="BU72" s="129"/>
      <c r="BV72" s="129"/>
      <c r="BW72" s="129"/>
      <c r="BX72" s="129"/>
      <c r="BY72" s="129"/>
      <c r="BZ72" s="129"/>
      <c r="CA72" s="129"/>
      <c r="CB72" s="129"/>
      <c r="CC72" s="129"/>
      <c r="CD72" s="129"/>
      <c r="CE72" s="129"/>
      <c r="CF72" s="129"/>
      <c r="CG72" s="129"/>
      <c r="CH72" s="129"/>
      <c r="CI72" s="129"/>
      <c r="CJ72" s="129"/>
      <c r="CK72" s="129"/>
      <c r="CL72" s="129"/>
      <c r="CM72" s="129"/>
      <c r="CN72" s="129"/>
      <c r="CO72" s="129"/>
      <c r="CP72" s="129"/>
      <c r="CQ72" s="129"/>
      <c r="CR72" s="129"/>
      <c r="CS72" s="129"/>
      <c r="CT72" s="129"/>
      <c r="CU72" s="129"/>
    </row>
    <row r="73" spans="2:99" s="120" customFormat="1">
      <c r="B73" s="228"/>
      <c r="C73" s="228"/>
      <c r="D73" s="3"/>
      <c r="E73" s="228"/>
      <c r="F73" s="228"/>
      <c r="G73" s="3"/>
      <c r="H73" s="228"/>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29"/>
      <c r="AK73" s="129"/>
      <c r="AL73" s="129"/>
      <c r="AM73" s="129"/>
      <c r="AN73" s="129"/>
      <c r="AO73" s="129"/>
      <c r="AP73" s="129"/>
      <c r="AQ73" s="129"/>
      <c r="AR73" s="129"/>
      <c r="AS73" s="129"/>
      <c r="AT73" s="129"/>
      <c r="AU73" s="129"/>
      <c r="AV73" s="129"/>
      <c r="AW73" s="129"/>
      <c r="AX73" s="129"/>
      <c r="AY73" s="129"/>
      <c r="AZ73" s="129"/>
      <c r="BA73" s="129"/>
      <c r="BB73" s="129"/>
      <c r="BC73" s="129"/>
      <c r="BD73" s="129"/>
      <c r="BE73" s="129"/>
      <c r="BF73" s="129"/>
      <c r="BG73" s="129"/>
      <c r="BH73" s="129"/>
      <c r="BI73" s="129"/>
      <c r="BJ73" s="129"/>
      <c r="BK73" s="129"/>
      <c r="BL73" s="129"/>
      <c r="BM73" s="129"/>
      <c r="BN73" s="129"/>
      <c r="BO73" s="129"/>
      <c r="BP73" s="129"/>
      <c r="BQ73" s="129"/>
      <c r="BR73" s="129"/>
      <c r="BS73" s="129"/>
      <c r="BT73" s="129"/>
      <c r="BU73" s="129"/>
      <c r="BV73" s="129"/>
      <c r="BW73" s="129"/>
      <c r="BX73" s="129"/>
      <c r="BY73" s="129"/>
      <c r="BZ73" s="129"/>
      <c r="CA73" s="129"/>
      <c r="CB73" s="129"/>
      <c r="CC73" s="129"/>
      <c r="CD73" s="129"/>
      <c r="CE73" s="129"/>
      <c r="CF73" s="129"/>
      <c r="CG73" s="129"/>
      <c r="CH73" s="129"/>
      <c r="CI73" s="129"/>
      <c r="CJ73" s="129"/>
      <c r="CK73" s="129"/>
      <c r="CL73" s="129"/>
      <c r="CM73" s="129"/>
      <c r="CN73" s="129"/>
      <c r="CO73" s="129"/>
      <c r="CP73" s="129"/>
      <c r="CQ73" s="129"/>
      <c r="CR73" s="129"/>
      <c r="CS73" s="129"/>
      <c r="CT73" s="129"/>
      <c r="CU73" s="129"/>
    </row>
    <row r="74" spans="2:99" s="120" customFormat="1">
      <c r="B74" s="228"/>
      <c r="C74" s="228"/>
      <c r="D74" s="3"/>
      <c r="E74" s="228"/>
      <c r="F74" s="228"/>
      <c r="G74" s="3"/>
      <c r="H74" s="228"/>
      <c r="I74" s="129"/>
      <c r="J74" s="129"/>
      <c r="K74" s="129"/>
      <c r="L74" s="129"/>
      <c r="M74" s="129"/>
      <c r="N74" s="129"/>
      <c r="O74" s="129"/>
      <c r="P74" s="129"/>
      <c r="Q74" s="129"/>
      <c r="R74" s="129"/>
      <c r="S74" s="129"/>
      <c r="T74" s="129"/>
      <c r="U74" s="129"/>
      <c r="V74" s="129"/>
      <c r="W74" s="129"/>
      <c r="X74" s="129"/>
      <c r="Y74" s="129"/>
      <c r="Z74" s="129"/>
      <c r="AA74" s="129"/>
      <c r="AB74" s="129"/>
      <c r="AC74" s="129"/>
      <c r="AD74" s="129"/>
      <c r="AE74" s="129"/>
      <c r="AF74" s="129"/>
      <c r="AG74" s="129"/>
      <c r="AH74" s="129"/>
      <c r="AI74" s="129"/>
      <c r="AJ74" s="129"/>
      <c r="AK74" s="129"/>
      <c r="AL74" s="129"/>
      <c r="AM74" s="129"/>
      <c r="AN74" s="129"/>
      <c r="AO74" s="129"/>
      <c r="AP74" s="129"/>
      <c r="AQ74" s="129"/>
      <c r="AR74" s="129"/>
      <c r="AS74" s="129"/>
      <c r="AT74" s="129"/>
      <c r="AU74" s="129"/>
      <c r="AV74" s="129"/>
      <c r="AW74" s="129"/>
      <c r="AX74" s="129"/>
      <c r="AY74" s="129"/>
      <c r="AZ74" s="129"/>
      <c r="BA74" s="129"/>
      <c r="BB74" s="129"/>
      <c r="BC74" s="129"/>
      <c r="BD74" s="129"/>
      <c r="BE74" s="129"/>
      <c r="BF74" s="129"/>
      <c r="BG74" s="129"/>
      <c r="BH74" s="129"/>
      <c r="BI74" s="129"/>
      <c r="BJ74" s="129"/>
      <c r="BK74" s="129"/>
      <c r="BL74" s="129"/>
      <c r="BM74" s="129"/>
      <c r="BN74" s="129"/>
      <c r="BO74" s="129"/>
      <c r="BP74" s="129"/>
      <c r="BQ74" s="129"/>
      <c r="BR74" s="129"/>
      <c r="BS74" s="129"/>
      <c r="BT74" s="129"/>
      <c r="BU74" s="129"/>
      <c r="BV74" s="129"/>
      <c r="BW74" s="129"/>
      <c r="BX74" s="129"/>
      <c r="BY74" s="129"/>
      <c r="BZ74" s="129"/>
      <c r="CA74" s="129"/>
      <c r="CB74" s="129"/>
      <c r="CC74" s="129"/>
      <c r="CD74" s="129"/>
      <c r="CE74" s="129"/>
      <c r="CF74" s="129"/>
      <c r="CG74" s="129"/>
      <c r="CH74" s="129"/>
      <c r="CI74" s="129"/>
      <c r="CJ74" s="129"/>
      <c r="CK74" s="129"/>
      <c r="CL74" s="129"/>
      <c r="CM74" s="129"/>
      <c r="CN74" s="129"/>
      <c r="CO74" s="129"/>
      <c r="CP74" s="129"/>
      <c r="CQ74" s="129"/>
      <c r="CR74" s="129"/>
      <c r="CS74" s="129"/>
      <c r="CT74" s="129"/>
      <c r="CU74" s="129"/>
    </row>
    <row r="75" spans="2:99" s="120" customFormat="1">
      <c r="B75" s="228"/>
      <c r="C75" s="228"/>
      <c r="D75" s="3"/>
      <c r="E75" s="228"/>
      <c r="F75" s="228"/>
      <c r="G75" s="3"/>
      <c r="H75" s="228"/>
      <c r="I75" s="129"/>
      <c r="J75" s="129"/>
      <c r="K75" s="129"/>
      <c r="L75" s="129"/>
      <c r="M75" s="129"/>
      <c r="N75" s="129"/>
      <c r="O75" s="129"/>
      <c r="P75" s="129"/>
      <c r="Q75" s="129"/>
      <c r="R75" s="129"/>
      <c r="S75" s="129"/>
      <c r="T75" s="129"/>
      <c r="U75" s="129"/>
      <c r="V75" s="129"/>
      <c r="W75" s="129"/>
      <c r="X75" s="129"/>
      <c r="Y75" s="129"/>
      <c r="Z75" s="129"/>
      <c r="AA75" s="129"/>
      <c r="AB75" s="129"/>
      <c r="AC75" s="129"/>
      <c r="AD75" s="129"/>
      <c r="AE75" s="129"/>
      <c r="AF75" s="129"/>
      <c r="AG75" s="129"/>
      <c r="AH75" s="129"/>
      <c r="AI75" s="129"/>
      <c r="AJ75" s="129"/>
      <c r="AK75" s="129"/>
      <c r="AL75" s="129"/>
      <c r="AM75" s="129"/>
      <c r="AN75" s="129"/>
      <c r="AO75" s="129"/>
      <c r="AP75" s="129"/>
      <c r="AQ75" s="129"/>
      <c r="AR75" s="129"/>
      <c r="AS75" s="129"/>
      <c r="AT75" s="129"/>
      <c r="AU75" s="129"/>
      <c r="AV75" s="129"/>
      <c r="AW75" s="129"/>
      <c r="AX75" s="129"/>
      <c r="AY75" s="129"/>
      <c r="AZ75" s="129"/>
      <c r="BA75" s="129"/>
      <c r="BB75" s="129"/>
      <c r="BC75" s="129"/>
      <c r="BD75" s="129"/>
      <c r="BE75" s="129"/>
      <c r="BF75" s="129"/>
      <c r="BG75" s="129"/>
      <c r="BH75" s="129"/>
      <c r="BI75" s="129"/>
      <c r="BJ75" s="129"/>
      <c r="BK75" s="129"/>
      <c r="BL75" s="129"/>
      <c r="BM75" s="129"/>
      <c r="BN75" s="129"/>
      <c r="BO75" s="129"/>
      <c r="BP75" s="129"/>
      <c r="BQ75" s="129"/>
      <c r="BR75" s="129"/>
      <c r="BS75" s="129"/>
      <c r="BT75" s="129"/>
      <c r="BU75" s="129"/>
      <c r="BV75" s="129"/>
      <c r="BW75" s="129"/>
      <c r="BX75" s="129"/>
      <c r="BY75" s="129"/>
      <c r="BZ75" s="129"/>
      <c r="CA75" s="129"/>
      <c r="CB75" s="129"/>
      <c r="CC75" s="129"/>
      <c r="CD75" s="129"/>
      <c r="CE75" s="129"/>
      <c r="CF75" s="129"/>
      <c r="CG75" s="129"/>
      <c r="CH75" s="129"/>
      <c r="CI75" s="129"/>
      <c r="CJ75" s="129"/>
      <c r="CK75" s="129"/>
      <c r="CL75" s="129"/>
      <c r="CM75" s="129"/>
      <c r="CN75" s="129"/>
      <c r="CO75" s="129"/>
      <c r="CP75" s="129"/>
      <c r="CQ75" s="129"/>
      <c r="CR75" s="129"/>
      <c r="CS75" s="129"/>
      <c r="CT75" s="129"/>
      <c r="CU75" s="129"/>
    </row>
    <row r="76" spans="2:99" s="120" customFormat="1">
      <c r="B76" s="228"/>
      <c r="C76" s="228"/>
      <c r="D76" s="3"/>
      <c r="E76" s="228"/>
      <c r="F76" s="228"/>
      <c r="G76" s="3"/>
      <c r="H76" s="228"/>
      <c r="I76" s="129"/>
      <c r="J76" s="129"/>
      <c r="K76" s="129"/>
      <c r="L76" s="129"/>
      <c r="M76" s="129"/>
      <c r="N76" s="129"/>
      <c r="O76" s="129"/>
      <c r="P76" s="129"/>
      <c r="Q76" s="129"/>
      <c r="R76" s="129"/>
      <c r="S76" s="129"/>
      <c r="T76" s="129"/>
      <c r="U76" s="129"/>
      <c r="V76" s="129"/>
      <c r="W76" s="129"/>
      <c r="X76" s="129"/>
      <c r="Y76" s="129"/>
      <c r="Z76" s="129"/>
      <c r="AA76" s="129"/>
      <c r="AB76" s="129"/>
      <c r="AC76" s="129"/>
      <c r="AD76" s="129"/>
      <c r="AE76" s="129"/>
      <c r="AF76" s="129"/>
      <c r="AG76" s="129"/>
      <c r="AH76" s="129"/>
      <c r="AI76" s="129"/>
      <c r="AJ76" s="129"/>
      <c r="AK76" s="129"/>
      <c r="AL76" s="129"/>
      <c r="AM76" s="129"/>
      <c r="AN76" s="129"/>
      <c r="AO76" s="129"/>
      <c r="AP76" s="129"/>
      <c r="AQ76" s="129"/>
      <c r="AR76" s="129"/>
      <c r="AS76" s="129"/>
      <c r="AT76" s="129"/>
      <c r="AU76" s="129"/>
      <c r="AV76" s="129"/>
      <c r="AW76" s="129"/>
      <c r="AX76" s="129"/>
      <c r="AY76" s="129"/>
      <c r="AZ76" s="129"/>
      <c r="BA76" s="129"/>
      <c r="BB76" s="129"/>
      <c r="BC76" s="129"/>
      <c r="BD76" s="129"/>
      <c r="BE76" s="129"/>
      <c r="BF76" s="129"/>
      <c r="BG76" s="129"/>
      <c r="BH76" s="129"/>
      <c r="BI76" s="129"/>
      <c r="BJ76" s="129"/>
      <c r="BK76" s="129"/>
      <c r="BL76" s="129"/>
      <c r="BM76" s="129"/>
      <c r="BN76" s="129"/>
      <c r="BO76" s="129"/>
      <c r="BP76" s="129"/>
      <c r="BQ76" s="129"/>
      <c r="BR76" s="129"/>
      <c r="BS76" s="129"/>
      <c r="BT76" s="129"/>
      <c r="BU76" s="129"/>
      <c r="BV76" s="129"/>
      <c r="BW76" s="129"/>
      <c r="BX76" s="129"/>
      <c r="BY76" s="129"/>
      <c r="BZ76" s="129"/>
      <c r="CA76" s="129"/>
      <c r="CB76" s="129"/>
      <c r="CC76" s="129"/>
      <c r="CD76" s="129"/>
      <c r="CE76" s="129"/>
      <c r="CF76" s="129"/>
      <c r="CG76" s="129"/>
      <c r="CH76" s="129"/>
      <c r="CI76" s="129"/>
      <c r="CJ76" s="129"/>
      <c r="CK76" s="129"/>
      <c r="CL76" s="129"/>
      <c r="CM76" s="129"/>
      <c r="CN76" s="129"/>
      <c r="CO76" s="129"/>
      <c r="CP76" s="129"/>
      <c r="CQ76" s="129"/>
      <c r="CR76" s="129"/>
      <c r="CS76" s="129"/>
      <c r="CT76" s="129"/>
      <c r="CU76" s="129"/>
    </row>
    <row r="77" spans="2:99" s="120" customFormat="1">
      <c r="B77" s="228"/>
      <c r="C77" s="228"/>
      <c r="D77" s="3"/>
      <c r="E77" s="228"/>
      <c r="F77" s="228"/>
      <c r="G77" s="3"/>
      <c r="H77" s="228"/>
      <c r="I77" s="129"/>
      <c r="J77" s="129"/>
      <c r="K77" s="129"/>
      <c r="L77" s="129"/>
      <c r="M77" s="129"/>
      <c r="N77" s="129"/>
      <c r="O77" s="129"/>
      <c r="P77" s="129"/>
      <c r="Q77" s="129"/>
      <c r="R77" s="129"/>
      <c r="S77" s="129"/>
      <c r="T77" s="129"/>
      <c r="U77" s="129"/>
      <c r="V77" s="129"/>
      <c r="W77" s="129"/>
      <c r="X77" s="129"/>
      <c r="Y77" s="129"/>
      <c r="Z77" s="129"/>
      <c r="AA77" s="129"/>
      <c r="AB77" s="129"/>
      <c r="AC77" s="129"/>
      <c r="AD77" s="129"/>
      <c r="AE77" s="129"/>
      <c r="AF77" s="129"/>
      <c r="AG77" s="129"/>
      <c r="AH77" s="129"/>
      <c r="AI77" s="129"/>
      <c r="AJ77" s="129"/>
      <c r="AK77" s="129"/>
      <c r="AL77" s="129"/>
      <c r="AM77" s="129"/>
      <c r="AN77" s="129"/>
      <c r="AO77" s="129"/>
      <c r="AP77" s="129"/>
      <c r="AQ77" s="129"/>
      <c r="AR77" s="129"/>
      <c r="AS77" s="129"/>
      <c r="AT77" s="129"/>
      <c r="AU77" s="129"/>
      <c r="AV77" s="129"/>
      <c r="AW77" s="129"/>
      <c r="AX77" s="129"/>
      <c r="AY77" s="129"/>
      <c r="AZ77" s="129"/>
      <c r="BA77" s="129"/>
      <c r="BB77" s="129"/>
      <c r="BC77" s="129"/>
      <c r="BD77" s="129"/>
      <c r="BE77" s="129"/>
      <c r="BF77" s="129"/>
      <c r="BG77" s="129"/>
      <c r="BH77" s="129"/>
      <c r="BI77" s="129"/>
      <c r="BJ77" s="129"/>
      <c r="BK77" s="129"/>
      <c r="BL77" s="129"/>
      <c r="BM77" s="129"/>
      <c r="BN77" s="129"/>
      <c r="BO77" s="129"/>
      <c r="BP77" s="129"/>
      <c r="BQ77" s="129"/>
      <c r="BR77" s="129"/>
      <c r="BS77" s="129"/>
      <c r="BT77" s="129"/>
      <c r="BU77" s="129"/>
      <c r="BV77" s="129"/>
      <c r="BW77" s="129"/>
      <c r="BX77" s="129"/>
      <c r="BY77" s="129"/>
      <c r="BZ77" s="129"/>
      <c r="CA77" s="129"/>
      <c r="CB77" s="129"/>
      <c r="CC77" s="129"/>
      <c r="CD77" s="129"/>
      <c r="CE77" s="129"/>
      <c r="CF77" s="129"/>
      <c r="CG77" s="129"/>
      <c r="CH77" s="129"/>
      <c r="CI77" s="129"/>
      <c r="CJ77" s="129"/>
      <c r="CK77" s="129"/>
      <c r="CL77" s="129"/>
      <c r="CM77" s="129"/>
      <c r="CN77" s="129"/>
      <c r="CO77" s="129"/>
      <c r="CP77" s="129"/>
      <c r="CQ77" s="129"/>
      <c r="CR77" s="129"/>
      <c r="CS77" s="129"/>
      <c r="CT77" s="129"/>
      <c r="CU77" s="129"/>
    </row>
    <row r="78" spans="2:99" s="120" customFormat="1">
      <c r="B78" s="228"/>
      <c r="C78" s="228"/>
      <c r="D78" s="3"/>
      <c r="E78" s="228"/>
      <c r="F78" s="228"/>
      <c r="G78" s="3"/>
      <c r="H78" s="228"/>
      <c r="I78" s="129"/>
      <c r="J78" s="129"/>
      <c r="K78" s="129"/>
      <c r="L78" s="129"/>
      <c r="M78" s="129"/>
      <c r="N78" s="129"/>
      <c r="O78" s="129"/>
      <c r="P78" s="129"/>
      <c r="Q78" s="129"/>
      <c r="R78" s="129"/>
      <c r="S78" s="129"/>
      <c r="T78" s="129"/>
      <c r="U78" s="129"/>
      <c r="V78" s="129"/>
      <c r="W78" s="129"/>
      <c r="X78" s="129"/>
      <c r="Y78" s="129"/>
      <c r="Z78" s="129"/>
      <c r="AA78" s="129"/>
      <c r="AB78" s="129"/>
      <c r="AC78" s="129"/>
      <c r="AD78" s="129"/>
      <c r="AE78" s="129"/>
      <c r="AF78" s="129"/>
      <c r="AG78" s="129"/>
      <c r="AH78" s="129"/>
      <c r="AI78" s="129"/>
      <c r="AJ78" s="129"/>
      <c r="AK78" s="129"/>
      <c r="AL78" s="129"/>
      <c r="AM78" s="129"/>
      <c r="AN78" s="129"/>
      <c r="AO78" s="129"/>
      <c r="AP78" s="129"/>
      <c r="AQ78" s="129"/>
      <c r="AR78" s="129"/>
      <c r="AS78" s="129"/>
      <c r="AT78" s="129"/>
      <c r="AU78" s="129"/>
      <c r="AV78" s="129"/>
      <c r="AW78" s="129"/>
      <c r="AX78" s="129"/>
      <c r="AY78" s="129"/>
      <c r="AZ78" s="129"/>
      <c r="BA78" s="129"/>
      <c r="BB78" s="129"/>
      <c r="BC78" s="129"/>
      <c r="BD78" s="129"/>
      <c r="BE78" s="129"/>
      <c r="BF78" s="129"/>
      <c r="BG78" s="129"/>
      <c r="BH78" s="129"/>
      <c r="BI78" s="129"/>
      <c r="BJ78" s="129"/>
      <c r="BK78" s="129"/>
      <c r="BL78" s="129"/>
      <c r="BM78" s="129"/>
      <c r="BN78" s="129"/>
      <c r="BO78" s="129"/>
      <c r="BP78" s="129"/>
      <c r="BQ78" s="129"/>
      <c r="BR78" s="129"/>
      <c r="BS78" s="129"/>
      <c r="BT78" s="129"/>
      <c r="BU78" s="129"/>
      <c r="BV78" s="129"/>
      <c r="BW78" s="129"/>
      <c r="BX78" s="129"/>
      <c r="BY78" s="129"/>
      <c r="BZ78" s="129"/>
      <c r="CA78" s="129"/>
      <c r="CB78" s="129"/>
      <c r="CC78" s="129"/>
      <c r="CD78" s="129"/>
      <c r="CE78" s="129"/>
      <c r="CF78" s="129"/>
      <c r="CG78" s="129"/>
      <c r="CH78" s="129"/>
      <c r="CI78" s="129"/>
      <c r="CJ78" s="129"/>
      <c r="CK78" s="129"/>
      <c r="CL78" s="129"/>
      <c r="CM78" s="129"/>
      <c r="CN78" s="129"/>
      <c r="CO78" s="129"/>
      <c r="CP78" s="129"/>
      <c r="CQ78" s="129"/>
      <c r="CR78" s="129"/>
      <c r="CS78" s="129"/>
      <c r="CT78" s="129"/>
      <c r="CU78" s="129"/>
    </row>
    <row r="79" spans="2:99" s="120" customFormat="1">
      <c r="B79" s="228"/>
      <c r="C79" s="228"/>
      <c r="D79" s="3"/>
      <c r="E79" s="228"/>
      <c r="F79" s="228"/>
      <c r="G79" s="3"/>
      <c r="H79" s="228"/>
      <c r="I79" s="129"/>
      <c r="J79" s="129"/>
      <c r="K79" s="129"/>
      <c r="L79" s="129"/>
      <c r="M79" s="129"/>
      <c r="N79" s="129"/>
      <c r="O79" s="129"/>
      <c r="P79" s="129"/>
      <c r="Q79" s="129"/>
      <c r="R79" s="129"/>
      <c r="S79" s="129"/>
      <c r="T79" s="129"/>
      <c r="U79" s="129"/>
      <c r="V79" s="129"/>
      <c r="W79" s="129"/>
      <c r="X79" s="129"/>
      <c r="Y79" s="129"/>
      <c r="Z79" s="129"/>
      <c r="AA79" s="129"/>
      <c r="AB79" s="129"/>
      <c r="AC79" s="129"/>
      <c r="AD79" s="129"/>
      <c r="AE79" s="129"/>
      <c r="AF79" s="129"/>
      <c r="AG79" s="129"/>
      <c r="AH79" s="129"/>
      <c r="AI79" s="129"/>
      <c r="AJ79" s="129"/>
      <c r="AK79" s="129"/>
      <c r="AL79" s="129"/>
      <c r="AM79" s="129"/>
      <c r="AN79" s="129"/>
      <c r="AO79" s="129"/>
      <c r="AP79" s="129"/>
      <c r="AQ79" s="129"/>
      <c r="AR79" s="129"/>
      <c r="AS79" s="129"/>
      <c r="AT79" s="129"/>
      <c r="AU79" s="129"/>
      <c r="AV79" s="129"/>
      <c r="AW79" s="129"/>
      <c r="AX79" s="129"/>
      <c r="AY79" s="129"/>
      <c r="AZ79" s="129"/>
      <c r="BA79" s="129"/>
      <c r="BB79" s="129"/>
      <c r="BC79" s="129"/>
      <c r="BD79" s="129"/>
      <c r="BE79" s="129"/>
      <c r="BF79" s="129"/>
      <c r="BG79" s="129"/>
      <c r="BH79" s="129"/>
      <c r="BI79" s="129"/>
      <c r="BJ79" s="129"/>
      <c r="BK79" s="129"/>
      <c r="BL79" s="129"/>
      <c r="BM79" s="129"/>
      <c r="BN79" s="129"/>
      <c r="BO79" s="129"/>
      <c r="BP79" s="129"/>
      <c r="BQ79" s="129"/>
      <c r="BR79" s="129"/>
      <c r="BS79" s="129"/>
      <c r="BT79" s="129"/>
      <c r="BU79" s="129"/>
      <c r="BV79" s="129"/>
      <c r="BW79" s="129"/>
      <c r="BX79" s="129"/>
      <c r="BY79" s="129"/>
      <c r="BZ79" s="129"/>
      <c r="CA79" s="129"/>
      <c r="CB79" s="129"/>
      <c r="CC79" s="129"/>
      <c r="CD79" s="129"/>
      <c r="CE79" s="129"/>
      <c r="CF79" s="129"/>
      <c r="CG79" s="129"/>
      <c r="CH79" s="129"/>
      <c r="CI79" s="129"/>
      <c r="CJ79" s="129"/>
      <c r="CK79" s="129"/>
      <c r="CL79" s="129"/>
      <c r="CM79" s="129"/>
      <c r="CN79" s="129"/>
      <c r="CO79" s="129"/>
      <c r="CP79" s="129"/>
      <c r="CQ79" s="129"/>
      <c r="CR79" s="129"/>
      <c r="CS79" s="129"/>
      <c r="CT79" s="129"/>
      <c r="CU79" s="129"/>
    </row>
    <row r="80" spans="2:99" s="120" customFormat="1">
      <c r="B80" s="228"/>
      <c r="C80" s="228"/>
      <c r="D80" s="3"/>
      <c r="E80" s="228"/>
      <c r="F80" s="228"/>
      <c r="G80" s="3"/>
      <c r="H80" s="228"/>
      <c r="I80" s="129"/>
      <c r="J80" s="129"/>
      <c r="K80" s="129"/>
      <c r="L80" s="129"/>
      <c r="M80" s="129"/>
      <c r="N80" s="129"/>
      <c r="O80" s="129"/>
      <c r="P80" s="129"/>
      <c r="Q80" s="129"/>
      <c r="R80" s="129"/>
      <c r="S80" s="129"/>
      <c r="T80" s="129"/>
      <c r="U80" s="129"/>
      <c r="V80" s="129"/>
      <c r="W80" s="129"/>
      <c r="X80" s="129"/>
      <c r="Y80" s="129"/>
      <c r="Z80" s="129"/>
      <c r="AA80" s="129"/>
      <c r="AB80" s="129"/>
      <c r="AC80" s="129"/>
      <c r="AD80" s="129"/>
      <c r="AE80" s="129"/>
      <c r="AF80" s="129"/>
      <c r="AG80" s="129"/>
      <c r="AH80" s="129"/>
      <c r="AI80" s="129"/>
      <c r="AJ80" s="129"/>
      <c r="AK80" s="129"/>
      <c r="AL80" s="129"/>
      <c r="AM80" s="129"/>
      <c r="AN80" s="129"/>
      <c r="AO80" s="129"/>
      <c r="AP80" s="129"/>
      <c r="AQ80" s="129"/>
      <c r="AR80" s="129"/>
      <c r="AS80" s="129"/>
      <c r="AT80" s="129"/>
      <c r="AU80" s="129"/>
      <c r="AV80" s="129"/>
      <c r="AW80" s="129"/>
      <c r="AX80" s="129"/>
      <c r="AY80" s="129"/>
      <c r="AZ80" s="129"/>
      <c r="BA80" s="129"/>
      <c r="BB80" s="129"/>
      <c r="BC80" s="129"/>
      <c r="BD80" s="129"/>
      <c r="BE80" s="129"/>
      <c r="BF80" s="129"/>
      <c r="BG80" s="129"/>
      <c r="BH80" s="129"/>
      <c r="BI80" s="129"/>
      <c r="BJ80" s="129"/>
      <c r="BK80" s="129"/>
      <c r="BL80" s="129"/>
      <c r="BM80" s="129"/>
      <c r="BN80" s="129"/>
      <c r="BO80" s="129"/>
      <c r="BP80" s="129"/>
      <c r="BQ80" s="129"/>
      <c r="BR80" s="129"/>
      <c r="BS80" s="129"/>
      <c r="BT80" s="129"/>
      <c r="BU80" s="129"/>
      <c r="BV80" s="129"/>
      <c r="BW80" s="129"/>
      <c r="BX80" s="129"/>
      <c r="BY80" s="129"/>
      <c r="BZ80" s="129"/>
      <c r="CA80" s="129"/>
      <c r="CB80" s="129"/>
      <c r="CC80" s="129"/>
      <c r="CD80" s="129"/>
      <c r="CE80" s="129"/>
      <c r="CF80" s="129"/>
      <c r="CG80" s="129"/>
      <c r="CH80" s="129"/>
      <c r="CI80" s="129"/>
      <c r="CJ80" s="129"/>
      <c r="CK80" s="129"/>
      <c r="CL80" s="129"/>
      <c r="CM80" s="129"/>
      <c r="CN80" s="129"/>
      <c r="CO80" s="129"/>
      <c r="CP80" s="129"/>
      <c r="CQ80" s="129"/>
      <c r="CR80" s="129"/>
      <c r="CS80" s="129"/>
      <c r="CT80" s="129"/>
      <c r="CU80" s="129"/>
    </row>
    <row r="81" spans="2:99" s="120" customFormat="1">
      <c r="B81" s="228"/>
      <c r="C81" s="228"/>
      <c r="D81" s="3"/>
      <c r="E81" s="228"/>
      <c r="F81" s="228"/>
      <c r="G81" s="3"/>
      <c r="H81" s="228"/>
      <c r="I81" s="129"/>
      <c r="J81" s="129"/>
      <c r="K81" s="129"/>
      <c r="L81" s="129"/>
      <c r="M81" s="129"/>
      <c r="N81" s="129"/>
      <c r="O81" s="129"/>
      <c r="P81" s="129"/>
      <c r="Q81" s="129"/>
      <c r="R81" s="129"/>
      <c r="S81" s="129"/>
      <c r="T81" s="129"/>
      <c r="U81" s="129"/>
      <c r="V81" s="129"/>
      <c r="W81" s="129"/>
      <c r="X81" s="129"/>
      <c r="Y81" s="129"/>
      <c r="Z81" s="129"/>
      <c r="AA81" s="129"/>
      <c r="AB81" s="129"/>
      <c r="AC81" s="129"/>
      <c r="AD81" s="129"/>
      <c r="AE81" s="129"/>
      <c r="AF81" s="129"/>
      <c r="AG81" s="129"/>
      <c r="AH81" s="129"/>
      <c r="AI81" s="129"/>
      <c r="AJ81" s="129"/>
      <c r="AK81" s="129"/>
      <c r="AL81" s="129"/>
      <c r="AM81" s="129"/>
      <c r="AN81" s="129"/>
      <c r="AO81" s="129"/>
      <c r="AP81" s="129"/>
      <c r="AQ81" s="129"/>
      <c r="AR81" s="129"/>
      <c r="AS81" s="129"/>
      <c r="AT81" s="129"/>
      <c r="AU81" s="129"/>
      <c r="AV81" s="129"/>
      <c r="AW81" s="129"/>
      <c r="AX81" s="129"/>
      <c r="AY81" s="129"/>
      <c r="AZ81" s="129"/>
      <c r="BA81" s="129"/>
      <c r="BB81" s="129"/>
      <c r="BC81" s="129"/>
      <c r="BD81" s="129"/>
      <c r="BE81" s="129"/>
      <c r="BF81" s="129"/>
      <c r="BG81" s="129"/>
      <c r="BH81" s="129"/>
      <c r="BI81" s="129"/>
      <c r="BJ81" s="129"/>
      <c r="BK81" s="129"/>
      <c r="BL81" s="129"/>
      <c r="BM81" s="129"/>
      <c r="BN81" s="129"/>
      <c r="BO81" s="129"/>
      <c r="BP81" s="129"/>
      <c r="BQ81" s="129"/>
      <c r="BR81" s="129"/>
      <c r="BS81" s="129"/>
      <c r="BT81" s="129"/>
      <c r="BU81" s="129"/>
      <c r="BV81" s="129"/>
      <c r="BW81" s="129"/>
      <c r="BX81" s="129"/>
      <c r="BY81" s="129"/>
      <c r="BZ81" s="129"/>
      <c r="CA81" s="129"/>
      <c r="CB81" s="129"/>
      <c r="CC81" s="129"/>
      <c r="CD81" s="129"/>
      <c r="CE81" s="129"/>
      <c r="CF81" s="129"/>
      <c r="CG81" s="129"/>
      <c r="CH81" s="129"/>
      <c r="CI81" s="129"/>
      <c r="CJ81" s="129"/>
      <c r="CK81" s="129"/>
      <c r="CL81" s="129"/>
      <c r="CM81" s="129"/>
      <c r="CN81" s="129"/>
      <c r="CO81" s="129"/>
      <c r="CP81" s="129"/>
      <c r="CQ81" s="129"/>
      <c r="CR81" s="129"/>
      <c r="CS81" s="129"/>
      <c r="CT81" s="129"/>
      <c r="CU81" s="129"/>
    </row>
    <row r="82" spans="2:99" s="120" customFormat="1">
      <c r="B82" s="228"/>
      <c r="C82" s="228"/>
      <c r="D82" s="3"/>
      <c r="E82" s="228"/>
      <c r="F82" s="228"/>
      <c r="G82" s="3"/>
      <c r="H82" s="228"/>
      <c r="I82" s="129"/>
      <c r="J82" s="129"/>
      <c r="K82" s="129"/>
      <c r="L82" s="129"/>
      <c r="M82" s="129"/>
      <c r="N82" s="129"/>
      <c r="O82" s="129"/>
      <c r="P82" s="129"/>
      <c r="Q82" s="129"/>
      <c r="R82" s="129"/>
      <c r="S82" s="129"/>
      <c r="T82" s="129"/>
      <c r="U82" s="129"/>
      <c r="V82" s="129"/>
      <c r="W82" s="129"/>
      <c r="X82" s="129"/>
      <c r="Y82" s="129"/>
      <c r="Z82" s="129"/>
      <c r="AA82" s="129"/>
      <c r="AB82" s="129"/>
      <c r="AC82" s="129"/>
      <c r="AD82" s="129"/>
      <c r="AE82" s="129"/>
      <c r="AF82" s="129"/>
      <c r="AG82" s="129"/>
      <c r="AH82" s="129"/>
      <c r="AI82" s="129"/>
      <c r="AJ82" s="129"/>
      <c r="AK82" s="129"/>
      <c r="AL82" s="129"/>
      <c r="AM82" s="129"/>
      <c r="AN82" s="129"/>
      <c r="AO82" s="129"/>
      <c r="AP82" s="129"/>
      <c r="AQ82" s="129"/>
      <c r="AR82" s="129"/>
      <c r="AS82" s="129"/>
      <c r="AT82" s="129"/>
      <c r="AU82" s="129"/>
      <c r="AV82" s="129"/>
      <c r="AW82" s="129"/>
      <c r="AX82" s="129"/>
      <c r="AY82" s="129"/>
      <c r="AZ82" s="129"/>
      <c r="BA82" s="129"/>
      <c r="BB82" s="129"/>
      <c r="BC82" s="129"/>
      <c r="BD82" s="129"/>
      <c r="BE82" s="129"/>
      <c r="BF82" s="129"/>
      <c r="BG82" s="129"/>
      <c r="BH82" s="129"/>
      <c r="BI82" s="129"/>
      <c r="BJ82" s="129"/>
      <c r="BK82" s="129"/>
      <c r="BL82" s="129"/>
      <c r="BM82" s="129"/>
      <c r="BN82" s="129"/>
      <c r="BO82" s="129"/>
      <c r="BP82" s="129"/>
      <c r="BQ82" s="129"/>
      <c r="BR82" s="129"/>
      <c r="BS82" s="129"/>
      <c r="BT82" s="129"/>
      <c r="BU82" s="129"/>
      <c r="BV82" s="129"/>
      <c r="BW82" s="129"/>
      <c r="BX82" s="129"/>
      <c r="BY82" s="129"/>
      <c r="BZ82" s="129"/>
      <c r="CA82" s="129"/>
      <c r="CB82" s="129"/>
      <c r="CC82" s="129"/>
      <c r="CD82" s="129"/>
      <c r="CE82" s="129"/>
      <c r="CF82" s="129"/>
      <c r="CG82" s="129"/>
      <c r="CH82" s="129"/>
      <c r="CI82" s="129"/>
      <c r="CJ82" s="129"/>
      <c r="CK82" s="129"/>
      <c r="CL82" s="129"/>
      <c r="CM82" s="129"/>
      <c r="CN82" s="129"/>
      <c r="CO82" s="129"/>
      <c r="CP82" s="129"/>
      <c r="CQ82" s="129"/>
      <c r="CR82" s="129"/>
      <c r="CS82" s="129"/>
      <c r="CT82" s="129"/>
      <c r="CU82" s="129"/>
    </row>
    <row r="83" spans="2:99" s="120" customFormat="1">
      <c r="B83" s="228"/>
      <c r="C83" s="228"/>
      <c r="D83" s="3"/>
      <c r="E83" s="228"/>
      <c r="F83" s="228"/>
      <c r="G83" s="3"/>
      <c r="H83" s="228"/>
      <c r="I83" s="129"/>
      <c r="J83" s="129"/>
      <c r="K83" s="129"/>
      <c r="L83" s="129"/>
      <c r="M83" s="129"/>
      <c r="N83" s="129"/>
      <c r="O83" s="129"/>
      <c r="P83" s="129"/>
      <c r="Q83" s="129"/>
      <c r="R83" s="129"/>
      <c r="S83" s="129"/>
      <c r="T83" s="129"/>
      <c r="U83" s="129"/>
      <c r="V83" s="129"/>
      <c r="W83" s="129"/>
      <c r="X83" s="129"/>
      <c r="Y83" s="129"/>
      <c r="Z83" s="129"/>
      <c r="AA83" s="129"/>
      <c r="AB83" s="129"/>
      <c r="AC83" s="129"/>
      <c r="AD83" s="129"/>
      <c r="AE83" s="129"/>
      <c r="AF83" s="129"/>
      <c r="AG83" s="129"/>
      <c r="AH83" s="129"/>
      <c r="AI83" s="129"/>
      <c r="AJ83" s="129"/>
      <c r="AK83" s="129"/>
      <c r="AL83" s="129"/>
      <c r="AM83" s="129"/>
      <c r="AN83" s="129"/>
      <c r="AO83" s="129"/>
      <c r="AP83" s="129"/>
      <c r="AQ83" s="129"/>
      <c r="AR83" s="129"/>
      <c r="AS83" s="129"/>
      <c r="AT83" s="129"/>
      <c r="AU83" s="129"/>
      <c r="AV83" s="129"/>
      <c r="AW83" s="129"/>
      <c r="AX83" s="129"/>
      <c r="AY83" s="129"/>
      <c r="AZ83" s="129"/>
      <c r="BA83" s="129"/>
      <c r="BB83" s="129"/>
      <c r="BC83" s="129"/>
      <c r="BD83" s="129"/>
      <c r="BE83" s="129"/>
      <c r="BF83" s="129"/>
      <c r="BG83" s="129"/>
      <c r="BH83" s="129"/>
      <c r="BI83" s="129"/>
      <c r="BJ83" s="129"/>
      <c r="BK83" s="129"/>
      <c r="BL83" s="129"/>
      <c r="BM83" s="129"/>
      <c r="BN83" s="129"/>
      <c r="BO83" s="129"/>
      <c r="BP83" s="129"/>
      <c r="BQ83" s="129"/>
      <c r="BR83" s="129"/>
      <c r="BS83" s="129"/>
      <c r="BT83" s="129"/>
      <c r="BU83" s="129"/>
      <c r="BV83" s="129"/>
      <c r="BW83" s="129"/>
      <c r="BX83" s="129"/>
      <c r="BY83" s="129"/>
      <c r="BZ83" s="129"/>
      <c r="CA83" s="129"/>
      <c r="CB83" s="129"/>
      <c r="CC83" s="129"/>
      <c r="CD83" s="129"/>
      <c r="CE83" s="129"/>
      <c r="CF83" s="129"/>
      <c r="CG83" s="129"/>
      <c r="CH83" s="129"/>
      <c r="CI83" s="129"/>
      <c r="CJ83" s="129"/>
      <c r="CK83" s="129"/>
      <c r="CL83" s="129"/>
      <c r="CM83" s="129"/>
      <c r="CN83" s="129"/>
      <c r="CO83" s="129"/>
      <c r="CP83" s="129"/>
      <c r="CQ83" s="129"/>
      <c r="CR83" s="129"/>
      <c r="CS83" s="129"/>
      <c r="CT83" s="129"/>
      <c r="CU83" s="129"/>
    </row>
    <row r="84" spans="2:99" s="120" customFormat="1">
      <c r="B84" s="228"/>
      <c r="C84" s="228"/>
      <c r="D84" s="3"/>
      <c r="E84" s="228"/>
      <c r="F84" s="228"/>
      <c r="G84" s="3"/>
      <c r="H84" s="228"/>
      <c r="I84" s="129"/>
      <c r="J84" s="129"/>
      <c r="K84" s="129"/>
      <c r="L84" s="129"/>
      <c r="M84" s="129"/>
      <c r="N84" s="129"/>
      <c r="O84" s="129"/>
      <c r="P84" s="129"/>
      <c r="Q84" s="129"/>
      <c r="R84" s="129"/>
      <c r="S84" s="129"/>
      <c r="T84" s="129"/>
      <c r="U84" s="129"/>
      <c r="V84" s="129"/>
      <c r="W84" s="129"/>
      <c r="X84" s="129"/>
      <c r="Y84" s="129"/>
      <c r="Z84" s="129"/>
      <c r="AA84" s="129"/>
      <c r="AB84" s="129"/>
      <c r="AC84" s="129"/>
      <c r="AD84" s="129"/>
      <c r="AE84" s="129"/>
      <c r="AF84" s="129"/>
      <c r="AG84" s="129"/>
      <c r="AH84" s="129"/>
      <c r="AI84" s="129"/>
      <c r="AJ84" s="129"/>
      <c r="AK84" s="129"/>
      <c r="AL84" s="129"/>
      <c r="AM84" s="129"/>
      <c r="AN84" s="129"/>
      <c r="AO84" s="129"/>
      <c r="AP84" s="129"/>
      <c r="AQ84" s="129"/>
      <c r="AR84" s="129"/>
      <c r="AS84" s="129"/>
      <c r="AT84" s="129"/>
      <c r="AU84" s="129"/>
      <c r="AV84" s="129"/>
      <c r="AW84" s="129"/>
      <c r="AX84" s="129"/>
      <c r="AY84" s="129"/>
      <c r="AZ84" s="129"/>
      <c r="BA84" s="129"/>
      <c r="BB84" s="129"/>
      <c r="BC84" s="129"/>
      <c r="BD84" s="129"/>
      <c r="BE84" s="129"/>
      <c r="BF84" s="129"/>
      <c r="BG84" s="129"/>
      <c r="BH84" s="129"/>
      <c r="BI84" s="129"/>
      <c r="BJ84" s="129"/>
      <c r="BK84" s="129"/>
      <c r="BL84" s="129"/>
      <c r="BM84" s="129"/>
      <c r="BN84" s="129"/>
      <c r="BO84" s="129"/>
      <c r="BP84" s="129"/>
      <c r="BQ84" s="129"/>
      <c r="BR84" s="129"/>
      <c r="BS84" s="129"/>
      <c r="BT84" s="129"/>
      <c r="BU84" s="129"/>
      <c r="BV84" s="129"/>
      <c r="BW84" s="129"/>
      <c r="BX84" s="129"/>
      <c r="BY84" s="129"/>
      <c r="BZ84" s="129"/>
      <c r="CA84" s="129"/>
      <c r="CB84" s="129"/>
      <c r="CC84" s="129"/>
      <c r="CD84" s="129"/>
      <c r="CE84" s="129"/>
      <c r="CF84" s="129"/>
      <c r="CG84" s="129"/>
      <c r="CH84" s="129"/>
      <c r="CI84" s="129"/>
      <c r="CJ84" s="129"/>
      <c r="CK84" s="129"/>
      <c r="CL84" s="129"/>
      <c r="CM84" s="129"/>
      <c r="CN84" s="129"/>
      <c r="CO84" s="129"/>
      <c r="CP84" s="129"/>
      <c r="CQ84" s="129"/>
      <c r="CR84" s="129"/>
      <c r="CS84" s="129"/>
      <c r="CT84" s="129"/>
      <c r="CU84" s="129"/>
    </row>
    <row r="85" spans="2:99" s="120" customFormat="1">
      <c r="B85" s="228"/>
      <c r="C85" s="228"/>
      <c r="D85" s="3"/>
      <c r="E85" s="228"/>
      <c r="F85" s="228"/>
      <c r="G85" s="3"/>
      <c r="H85" s="228"/>
      <c r="I85" s="129"/>
      <c r="J85" s="129"/>
      <c r="K85" s="129"/>
      <c r="L85" s="129"/>
      <c r="M85" s="129"/>
      <c r="N85" s="129"/>
      <c r="O85" s="129"/>
      <c r="P85" s="129"/>
      <c r="Q85" s="129"/>
      <c r="R85" s="129"/>
      <c r="S85" s="129"/>
      <c r="T85" s="129"/>
      <c r="U85" s="129"/>
      <c r="V85" s="129"/>
      <c r="W85" s="129"/>
      <c r="X85" s="129"/>
      <c r="Y85" s="129"/>
      <c r="Z85" s="129"/>
      <c r="AA85" s="129"/>
      <c r="AB85" s="129"/>
      <c r="AC85" s="129"/>
      <c r="AD85" s="129"/>
      <c r="AE85" s="129"/>
      <c r="AF85" s="129"/>
      <c r="AG85" s="129"/>
      <c r="AH85" s="129"/>
      <c r="AI85" s="129"/>
      <c r="AJ85" s="129"/>
      <c r="AK85" s="129"/>
      <c r="AL85" s="129"/>
      <c r="AM85" s="129"/>
      <c r="AN85" s="129"/>
      <c r="AO85" s="129"/>
      <c r="AP85" s="129"/>
      <c r="AQ85" s="129"/>
      <c r="AR85" s="129"/>
      <c r="AS85" s="129"/>
      <c r="AT85" s="129"/>
      <c r="AU85" s="129"/>
      <c r="AV85" s="129"/>
      <c r="AW85" s="129"/>
      <c r="AX85" s="129"/>
      <c r="AY85" s="129"/>
      <c r="AZ85" s="129"/>
      <c r="BA85" s="129"/>
      <c r="BB85" s="129"/>
      <c r="BC85" s="129"/>
      <c r="BD85" s="129"/>
      <c r="BE85" s="129"/>
      <c r="BF85" s="129"/>
      <c r="BG85" s="129"/>
      <c r="BH85" s="129"/>
      <c r="BI85" s="129"/>
      <c r="BJ85" s="129"/>
      <c r="BK85" s="129"/>
      <c r="BL85" s="129"/>
      <c r="BM85" s="129"/>
      <c r="BN85" s="129"/>
      <c r="BO85" s="129"/>
      <c r="BP85" s="129"/>
      <c r="BQ85" s="129"/>
      <c r="BR85" s="129"/>
      <c r="BS85" s="129"/>
      <c r="BT85" s="129"/>
      <c r="BU85" s="129"/>
      <c r="BV85" s="129"/>
      <c r="BW85" s="129"/>
      <c r="BX85" s="129"/>
      <c r="BY85" s="129"/>
      <c r="BZ85" s="129"/>
      <c r="CA85" s="129"/>
      <c r="CB85" s="129"/>
      <c r="CC85" s="129"/>
      <c r="CD85" s="129"/>
      <c r="CE85" s="129"/>
      <c r="CF85" s="129"/>
      <c r="CG85" s="129"/>
      <c r="CH85" s="129"/>
      <c r="CI85" s="129"/>
      <c r="CJ85" s="129"/>
      <c r="CK85" s="129"/>
      <c r="CL85" s="129"/>
      <c r="CM85" s="129"/>
      <c r="CN85" s="129"/>
      <c r="CO85" s="129"/>
      <c r="CP85" s="129"/>
      <c r="CQ85" s="129"/>
      <c r="CR85" s="129"/>
      <c r="CS85" s="129"/>
      <c r="CT85" s="129"/>
      <c r="CU85" s="129"/>
    </row>
    <row r="86" spans="2:99" s="120" customFormat="1">
      <c r="B86" s="228"/>
      <c r="C86" s="228"/>
      <c r="D86" s="3"/>
      <c r="E86" s="228"/>
      <c r="F86" s="228"/>
      <c r="G86" s="3"/>
      <c r="H86" s="228"/>
      <c r="I86" s="129"/>
      <c r="J86" s="129"/>
      <c r="K86" s="129"/>
      <c r="L86" s="129"/>
      <c r="M86" s="129"/>
      <c r="N86" s="129"/>
      <c r="O86" s="129"/>
      <c r="P86" s="129"/>
      <c r="Q86" s="129"/>
      <c r="R86" s="129"/>
      <c r="S86" s="129"/>
      <c r="T86" s="129"/>
      <c r="U86" s="129"/>
      <c r="V86" s="129"/>
      <c r="W86" s="129"/>
      <c r="X86" s="129"/>
      <c r="Y86" s="129"/>
      <c r="Z86" s="129"/>
      <c r="AA86" s="129"/>
      <c r="AB86" s="129"/>
      <c r="AC86" s="129"/>
      <c r="AD86" s="129"/>
      <c r="AE86" s="129"/>
      <c r="AF86" s="129"/>
      <c r="AG86" s="129"/>
      <c r="AH86" s="129"/>
      <c r="AI86" s="129"/>
      <c r="AJ86" s="129"/>
      <c r="AK86" s="129"/>
      <c r="AL86" s="129"/>
      <c r="AM86" s="129"/>
      <c r="AN86" s="129"/>
      <c r="AO86" s="129"/>
      <c r="AP86" s="129"/>
      <c r="AQ86" s="129"/>
      <c r="AR86" s="129"/>
      <c r="AS86" s="129"/>
      <c r="AT86" s="129"/>
      <c r="AU86" s="129"/>
      <c r="AV86" s="129"/>
      <c r="AW86" s="129"/>
      <c r="AX86" s="129"/>
      <c r="AY86" s="129"/>
      <c r="AZ86" s="129"/>
      <c r="BA86" s="129"/>
      <c r="BB86" s="129"/>
      <c r="BC86" s="129"/>
      <c r="BD86" s="129"/>
      <c r="BE86" s="129"/>
      <c r="BF86" s="129"/>
      <c r="BG86" s="129"/>
      <c r="BH86" s="129"/>
      <c r="BI86" s="129"/>
      <c r="BJ86" s="129"/>
      <c r="BK86" s="129"/>
      <c r="BL86" s="129"/>
      <c r="BM86" s="129"/>
      <c r="BN86" s="129"/>
      <c r="BO86" s="129"/>
      <c r="BP86" s="129"/>
      <c r="BQ86" s="129"/>
      <c r="BR86" s="129"/>
      <c r="BS86" s="129"/>
      <c r="BT86" s="129"/>
      <c r="BU86" s="129"/>
      <c r="BV86" s="129"/>
      <c r="BW86" s="129"/>
      <c r="BX86" s="129"/>
      <c r="BY86" s="129"/>
      <c r="BZ86" s="129"/>
      <c r="CA86" s="129"/>
      <c r="CB86" s="129"/>
      <c r="CC86" s="129"/>
      <c r="CD86" s="129"/>
      <c r="CE86" s="129"/>
      <c r="CF86" s="129"/>
      <c r="CG86" s="129"/>
      <c r="CH86" s="129"/>
      <c r="CI86" s="129"/>
      <c r="CJ86" s="129"/>
      <c r="CK86" s="129"/>
      <c r="CL86" s="129"/>
      <c r="CM86" s="129"/>
      <c r="CN86" s="129"/>
      <c r="CO86" s="129"/>
      <c r="CP86" s="129"/>
      <c r="CQ86" s="129"/>
      <c r="CR86" s="129"/>
      <c r="CS86" s="129"/>
      <c r="CT86" s="129"/>
      <c r="CU86" s="129"/>
    </row>
    <row r="87" spans="2:99" s="120" customFormat="1">
      <c r="B87" s="228"/>
      <c r="C87" s="228"/>
      <c r="D87" s="3"/>
      <c r="E87" s="228"/>
      <c r="F87" s="228"/>
      <c r="G87" s="3"/>
      <c r="H87" s="228"/>
      <c r="I87" s="129"/>
      <c r="J87" s="129"/>
      <c r="K87" s="129"/>
      <c r="L87" s="129"/>
      <c r="M87" s="129"/>
      <c r="N87" s="129"/>
      <c r="O87" s="129"/>
      <c r="P87" s="129"/>
      <c r="Q87" s="129"/>
      <c r="R87" s="129"/>
      <c r="S87" s="129"/>
      <c r="T87" s="129"/>
      <c r="U87" s="129"/>
      <c r="V87" s="129"/>
      <c r="W87" s="129"/>
      <c r="X87" s="129"/>
      <c r="Y87" s="129"/>
      <c r="Z87" s="129"/>
      <c r="AA87" s="129"/>
      <c r="AB87" s="129"/>
      <c r="AC87" s="129"/>
      <c r="AD87" s="129"/>
      <c r="AE87" s="129"/>
      <c r="AF87" s="129"/>
      <c r="AG87" s="129"/>
      <c r="AH87" s="129"/>
      <c r="AI87" s="129"/>
      <c r="AJ87" s="129"/>
      <c r="AK87" s="129"/>
      <c r="AL87" s="129"/>
      <c r="AM87" s="129"/>
      <c r="AN87" s="129"/>
      <c r="AO87" s="129"/>
      <c r="AP87" s="129"/>
      <c r="AQ87" s="129"/>
      <c r="AR87" s="129"/>
      <c r="AS87" s="129"/>
      <c r="AT87" s="129"/>
      <c r="AU87" s="129"/>
      <c r="AV87" s="129"/>
      <c r="AW87" s="129"/>
      <c r="AX87" s="129"/>
      <c r="AY87" s="129"/>
      <c r="AZ87" s="129"/>
      <c r="BA87" s="129"/>
      <c r="BB87" s="129"/>
      <c r="BC87" s="129"/>
      <c r="BD87" s="129"/>
      <c r="BE87" s="129"/>
      <c r="BF87" s="129"/>
      <c r="BG87" s="129"/>
      <c r="BH87" s="129"/>
      <c r="BI87" s="129"/>
      <c r="BJ87" s="129"/>
      <c r="BK87" s="129"/>
      <c r="BL87" s="129"/>
      <c r="BM87" s="129"/>
      <c r="BN87" s="129"/>
      <c r="BO87" s="129"/>
      <c r="BP87" s="129"/>
      <c r="BQ87" s="129"/>
      <c r="BR87" s="129"/>
      <c r="BS87" s="129"/>
      <c r="BT87" s="129"/>
      <c r="BU87" s="129"/>
      <c r="BV87" s="129"/>
      <c r="BW87" s="129"/>
      <c r="BX87" s="129"/>
      <c r="BY87" s="129"/>
      <c r="BZ87" s="129"/>
      <c r="CA87" s="129"/>
      <c r="CB87" s="129"/>
      <c r="CC87" s="129"/>
      <c r="CD87" s="129"/>
      <c r="CE87" s="129"/>
      <c r="CF87" s="129"/>
      <c r="CG87" s="129"/>
      <c r="CH87" s="129"/>
      <c r="CI87" s="129"/>
      <c r="CJ87" s="129"/>
      <c r="CK87" s="129"/>
      <c r="CL87" s="129"/>
      <c r="CM87" s="129"/>
      <c r="CN87" s="129"/>
      <c r="CO87" s="129"/>
      <c r="CP87" s="129"/>
      <c r="CQ87" s="129"/>
      <c r="CR87" s="129"/>
      <c r="CS87" s="129"/>
      <c r="CT87" s="129"/>
      <c r="CU87" s="129"/>
    </row>
    <row r="88" spans="2:99" s="120" customFormat="1">
      <c r="B88" s="228"/>
      <c r="C88" s="228"/>
      <c r="D88" s="3"/>
      <c r="E88" s="228"/>
      <c r="F88" s="228"/>
      <c r="G88" s="3"/>
      <c r="H88" s="228"/>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129"/>
      <c r="AL88" s="129"/>
      <c r="AM88" s="129"/>
      <c r="AN88" s="129"/>
      <c r="AO88" s="129"/>
      <c r="AP88" s="129"/>
      <c r="AQ88" s="129"/>
      <c r="AR88" s="129"/>
      <c r="AS88" s="129"/>
      <c r="AT88" s="129"/>
      <c r="AU88" s="129"/>
      <c r="AV88" s="129"/>
      <c r="AW88" s="129"/>
      <c r="AX88" s="129"/>
      <c r="AY88" s="129"/>
      <c r="AZ88" s="129"/>
      <c r="BA88" s="129"/>
      <c r="BB88" s="129"/>
      <c r="BC88" s="129"/>
      <c r="BD88" s="129"/>
      <c r="BE88" s="129"/>
      <c r="BF88" s="129"/>
      <c r="BG88" s="129"/>
      <c r="BH88" s="129"/>
      <c r="BI88" s="129"/>
      <c r="BJ88" s="129"/>
      <c r="BK88" s="129"/>
      <c r="BL88" s="129"/>
      <c r="BM88" s="129"/>
      <c r="BN88" s="129"/>
      <c r="BO88" s="129"/>
      <c r="BP88" s="129"/>
      <c r="BQ88" s="129"/>
      <c r="BR88" s="129"/>
      <c r="BS88" s="129"/>
      <c r="BT88" s="129"/>
      <c r="BU88" s="129"/>
      <c r="BV88" s="129"/>
      <c r="BW88" s="129"/>
      <c r="BX88" s="129"/>
      <c r="BY88" s="129"/>
      <c r="BZ88" s="129"/>
      <c r="CA88" s="129"/>
      <c r="CB88" s="129"/>
      <c r="CC88" s="129"/>
      <c r="CD88" s="129"/>
      <c r="CE88" s="129"/>
      <c r="CF88" s="129"/>
      <c r="CG88" s="129"/>
      <c r="CH88" s="129"/>
      <c r="CI88" s="129"/>
      <c r="CJ88" s="129"/>
      <c r="CK88" s="129"/>
      <c r="CL88" s="129"/>
      <c r="CM88" s="129"/>
      <c r="CN88" s="129"/>
      <c r="CO88" s="129"/>
      <c r="CP88" s="129"/>
      <c r="CQ88" s="129"/>
      <c r="CR88" s="129"/>
      <c r="CS88" s="129"/>
      <c r="CT88" s="129"/>
      <c r="CU88" s="129"/>
    </row>
    <row r="89" spans="2:99" s="120" customFormat="1">
      <c r="B89" s="228"/>
      <c r="C89" s="228"/>
      <c r="D89" s="3"/>
      <c r="E89" s="228"/>
      <c r="F89" s="228"/>
      <c r="G89" s="3"/>
      <c r="H89" s="228"/>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129"/>
      <c r="AL89" s="129"/>
      <c r="AM89" s="129"/>
      <c r="AN89" s="129"/>
      <c r="AO89" s="129"/>
      <c r="AP89" s="129"/>
      <c r="AQ89" s="129"/>
      <c r="AR89" s="129"/>
      <c r="AS89" s="129"/>
      <c r="AT89" s="129"/>
      <c r="AU89" s="129"/>
      <c r="AV89" s="129"/>
      <c r="AW89" s="129"/>
      <c r="AX89" s="129"/>
      <c r="AY89" s="129"/>
      <c r="AZ89" s="129"/>
      <c r="BA89" s="129"/>
      <c r="BB89" s="129"/>
      <c r="BC89" s="129"/>
      <c r="BD89" s="129"/>
      <c r="BE89" s="129"/>
      <c r="BF89" s="129"/>
      <c r="BG89" s="129"/>
      <c r="BH89" s="129"/>
      <c r="BI89" s="129"/>
      <c r="BJ89" s="129"/>
      <c r="BK89" s="129"/>
      <c r="BL89" s="129"/>
      <c r="BM89" s="129"/>
      <c r="BN89" s="129"/>
      <c r="BO89" s="129"/>
      <c r="BP89" s="129"/>
      <c r="BQ89" s="129"/>
      <c r="BR89" s="129"/>
      <c r="BS89" s="129"/>
      <c r="BT89" s="129"/>
      <c r="BU89" s="129"/>
      <c r="BV89" s="129"/>
      <c r="BW89" s="129"/>
      <c r="BX89" s="129"/>
      <c r="BY89" s="129"/>
      <c r="BZ89" s="129"/>
      <c r="CA89" s="129"/>
      <c r="CB89" s="129"/>
      <c r="CC89" s="129"/>
      <c r="CD89" s="129"/>
      <c r="CE89" s="129"/>
      <c r="CF89" s="129"/>
      <c r="CG89" s="129"/>
      <c r="CH89" s="129"/>
      <c r="CI89" s="129"/>
      <c r="CJ89" s="129"/>
      <c r="CK89" s="129"/>
      <c r="CL89" s="129"/>
      <c r="CM89" s="129"/>
      <c r="CN89" s="129"/>
      <c r="CO89" s="129"/>
      <c r="CP89" s="129"/>
      <c r="CQ89" s="129"/>
      <c r="CR89" s="129"/>
      <c r="CS89" s="129"/>
      <c r="CT89" s="129"/>
      <c r="CU89" s="129"/>
    </row>
    <row r="90" spans="2:99" s="120" customFormat="1">
      <c r="B90" s="228"/>
      <c r="C90" s="228"/>
      <c r="D90" s="3"/>
      <c r="E90" s="228"/>
      <c r="F90" s="228"/>
      <c r="G90" s="3"/>
      <c r="H90" s="228"/>
      <c r="I90" s="129"/>
      <c r="J90" s="129"/>
      <c r="K90" s="129"/>
      <c r="L90" s="129"/>
      <c r="M90" s="129"/>
      <c r="N90" s="129"/>
      <c r="O90" s="129"/>
      <c r="P90" s="129"/>
      <c r="Q90" s="129"/>
      <c r="R90" s="129"/>
      <c r="S90" s="129"/>
      <c r="T90" s="129"/>
      <c r="U90" s="129"/>
      <c r="V90" s="129"/>
      <c r="W90" s="129"/>
      <c r="X90" s="129"/>
      <c r="Y90" s="129"/>
      <c r="Z90" s="129"/>
      <c r="AA90" s="129"/>
      <c r="AB90" s="129"/>
      <c r="AC90" s="129"/>
      <c r="AD90" s="129"/>
      <c r="AE90" s="129"/>
      <c r="AF90" s="129"/>
      <c r="AG90" s="129"/>
      <c r="AH90" s="129"/>
      <c r="AI90" s="129"/>
      <c r="AJ90" s="129"/>
      <c r="AK90" s="129"/>
      <c r="AL90" s="129"/>
      <c r="AM90" s="129"/>
      <c r="AN90" s="129"/>
      <c r="AO90" s="129"/>
      <c r="AP90" s="129"/>
      <c r="AQ90" s="129"/>
      <c r="AR90" s="129"/>
      <c r="AS90" s="129"/>
      <c r="AT90" s="129"/>
      <c r="AU90" s="129"/>
      <c r="AV90" s="129"/>
      <c r="AW90" s="129"/>
      <c r="AX90" s="129"/>
      <c r="AY90" s="129"/>
      <c r="AZ90" s="129"/>
      <c r="BA90" s="129"/>
      <c r="BB90" s="129"/>
      <c r="BC90" s="129"/>
      <c r="BD90" s="129"/>
      <c r="BE90" s="129"/>
      <c r="BF90" s="129"/>
      <c r="BG90" s="129"/>
      <c r="BH90" s="129"/>
      <c r="BI90" s="129"/>
      <c r="BJ90" s="129"/>
      <c r="BK90" s="129"/>
      <c r="BL90" s="129"/>
      <c r="BM90" s="129"/>
      <c r="BN90" s="129"/>
      <c r="BO90" s="129"/>
      <c r="BP90" s="129"/>
      <c r="BQ90" s="129"/>
      <c r="BR90" s="129"/>
      <c r="BS90" s="129"/>
      <c r="BT90" s="129"/>
      <c r="BU90" s="129"/>
      <c r="BV90" s="129"/>
      <c r="BW90" s="129"/>
      <c r="BX90" s="129"/>
      <c r="BY90" s="129"/>
      <c r="BZ90" s="129"/>
      <c r="CA90" s="129"/>
      <c r="CB90" s="129"/>
      <c r="CC90" s="129"/>
      <c r="CD90" s="129"/>
      <c r="CE90" s="129"/>
      <c r="CF90" s="129"/>
      <c r="CG90" s="129"/>
      <c r="CH90" s="129"/>
      <c r="CI90" s="129"/>
      <c r="CJ90" s="129"/>
      <c r="CK90" s="129"/>
      <c r="CL90" s="129"/>
      <c r="CM90" s="129"/>
      <c r="CN90" s="129"/>
      <c r="CO90" s="129"/>
      <c r="CP90" s="129"/>
      <c r="CQ90" s="129"/>
      <c r="CR90" s="129"/>
      <c r="CS90" s="129"/>
      <c r="CT90" s="129"/>
      <c r="CU90" s="129"/>
    </row>
    <row r="91" spans="2:99" s="120" customFormat="1">
      <c r="B91" s="228"/>
      <c r="C91" s="228"/>
      <c r="D91" s="3"/>
      <c r="E91" s="228"/>
      <c r="F91" s="228"/>
      <c r="G91" s="3"/>
      <c r="H91" s="228"/>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29"/>
      <c r="AT91" s="129"/>
      <c r="AU91" s="129"/>
      <c r="AV91" s="129"/>
      <c r="AW91" s="129"/>
      <c r="AX91" s="129"/>
      <c r="AY91" s="129"/>
      <c r="AZ91" s="129"/>
      <c r="BA91" s="129"/>
      <c r="BB91" s="129"/>
      <c r="BC91" s="129"/>
      <c r="BD91" s="129"/>
      <c r="BE91" s="129"/>
      <c r="BF91" s="129"/>
      <c r="BG91" s="129"/>
      <c r="BH91" s="129"/>
      <c r="BI91" s="129"/>
      <c r="BJ91" s="129"/>
      <c r="BK91" s="129"/>
      <c r="BL91" s="129"/>
      <c r="BM91" s="129"/>
      <c r="BN91" s="129"/>
      <c r="BO91" s="129"/>
      <c r="BP91" s="129"/>
      <c r="BQ91" s="129"/>
      <c r="BR91" s="129"/>
      <c r="BS91" s="129"/>
      <c r="BT91" s="129"/>
      <c r="BU91" s="129"/>
      <c r="BV91" s="129"/>
      <c r="BW91" s="129"/>
      <c r="BX91" s="129"/>
      <c r="BY91" s="129"/>
      <c r="BZ91" s="129"/>
      <c r="CA91" s="129"/>
      <c r="CB91" s="129"/>
      <c r="CC91" s="129"/>
      <c r="CD91" s="129"/>
      <c r="CE91" s="129"/>
      <c r="CF91" s="129"/>
      <c r="CG91" s="129"/>
      <c r="CH91" s="129"/>
      <c r="CI91" s="129"/>
      <c r="CJ91" s="129"/>
      <c r="CK91" s="129"/>
      <c r="CL91" s="129"/>
      <c r="CM91" s="129"/>
      <c r="CN91" s="129"/>
      <c r="CO91" s="129"/>
      <c r="CP91" s="129"/>
      <c r="CQ91" s="129"/>
      <c r="CR91" s="129"/>
      <c r="CS91" s="129"/>
      <c r="CT91" s="129"/>
      <c r="CU91" s="129"/>
    </row>
    <row r="92" spans="2:99" s="120" customFormat="1">
      <c r="B92" s="228"/>
      <c r="C92" s="228"/>
      <c r="D92" s="3"/>
      <c r="E92" s="228"/>
      <c r="F92" s="228"/>
      <c r="G92" s="3"/>
      <c r="H92" s="228"/>
      <c r="I92" s="129"/>
      <c r="J92" s="129"/>
      <c r="K92" s="129"/>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29"/>
      <c r="AT92" s="129"/>
      <c r="AU92" s="129"/>
      <c r="AV92" s="129"/>
      <c r="AW92" s="129"/>
      <c r="AX92" s="129"/>
      <c r="AY92" s="129"/>
      <c r="AZ92" s="129"/>
      <c r="BA92" s="129"/>
      <c r="BB92" s="129"/>
      <c r="BC92" s="129"/>
      <c r="BD92" s="129"/>
      <c r="BE92" s="129"/>
      <c r="BF92" s="129"/>
      <c r="BG92" s="129"/>
      <c r="BH92" s="129"/>
      <c r="BI92" s="129"/>
      <c r="BJ92" s="129"/>
      <c r="BK92" s="129"/>
      <c r="BL92" s="129"/>
      <c r="BM92" s="129"/>
      <c r="BN92" s="129"/>
      <c r="BO92" s="129"/>
      <c r="BP92" s="129"/>
      <c r="BQ92" s="129"/>
      <c r="BR92" s="129"/>
      <c r="BS92" s="129"/>
      <c r="BT92" s="129"/>
      <c r="BU92" s="129"/>
      <c r="BV92" s="129"/>
      <c r="BW92" s="129"/>
      <c r="BX92" s="129"/>
      <c r="BY92" s="129"/>
      <c r="BZ92" s="129"/>
      <c r="CA92" s="129"/>
      <c r="CB92" s="129"/>
      <c r="CC92" s="129"/>
      <c r="CD92" s="129"/>
      <c r="CE92" s="129"/>
      <c r="CF92" s="129"/>
      <c r="CG92" s="129"/>
      <c r="CH92" s="129"/>
      <c r="CI92" s="129"/>
      <c r="CJ92" s="129"/>
      <c r="CK92" s="129"/>
      <c r="CL92" s="129"/>
      <c r="CM92" s="129"/>
      <c r="CN92" s="129"/>
      <c r="CO92" s="129"/>
      <c r="CP92" s="129"/>
      <c r="CQ92" s="129"/>
      <c r="CR92" s="129"/>
      <c r="CS92" s="129"/>
      <c r="CT92" s="129"/>
      <c r="CU92" s="129"/>
    </row>
    <row r="93" spans="2:99" s="120" customFormat="1">
      <c r="B93" s="228"/>
      <c r="C93" s="228"/>
      <c r="D93" s="3"/>
      <c r="E93" s="228"/>
      <c r="F93" s="228"/>
      <c r="G93" s="3"/>
      <c r="H93" s="228"/>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c r="AS93" s="129"/>
      <c r="AT93" s="129"/>
      <c r="AU93" s="129"/>
      <c r="AV93" s="129"/>
      <c r="AW93" s="129"/>
      <c r="AX93" s="129"/>
      <c r="AY93" s="129"/>
      <c r="AZ93" s="129"/>
      <c r="BA93" s="129"/>
      <c r="BB93" s="129"/>
      <c r="BC93" s="129"/>
      <c r="BD93" s="129"/>
      <c r="BE93" s="129"/>
      <c r="BF93" s="129"/>
      <c r="BG93" s="129"/>
      <c r="BH93" s="129"/>
      <c r="BI93" s="129"/>
      <c r="BJ93" s="129"/>
      <c r="BK93" s="129"/>
      <c r="BL93" s="129"/>
      <c r="BM93" s="129"/>
      <c r="BN93" s="129"/>
      <c r="BO93" s="129"/>
      <c r="BP93" s="129"/>
      <c r="BQ93" s="129"/>
      <c r="BR93" s="129"/>
      <c r="BS93" s="129"/>
      <c r="BT93" s="129"/>
      <c r="BU93" s="129"/>
      <c r="BV93" s="129"/>
      <c r="BW93" s="129"/>
      <c r="BX93" s="129"/>
      <c r="BY93" s="129"/>
      <c r="BZ93" s="129"/>
      <c r="CA93" s="129"/>
      <c r="CB93" s="129"/>
      <c r="CC93" s="129"/>
      <c r="CD93" s="129"/>
      <c r="CE93" s="129"/>
      <c r="CF93" s="129"/>
      <c r="CG93" s="129"/>
      <c r="CH93" s="129"/>
      <c r="CI93" s="129"/>
      <c r="CJ93" s="129"/>
      <c r="CK93" s="129"/>
      <c r="CL93" s="129"/>
      <c r="CM93" s="129"/>
      <c r="CN93" s="129"/>
      <c r="CO93" s="129"/>
      <c r="CP93" s="129"/>
      <c r="CQ93" s="129"/>
      <c r="CR93" s="129"/>
      <c r="CS93" s="129"/>
      <c r="CT93" s="129"/>
      <c r="CU93" s="129"/>
    </row>
    <row r="94" spans="2:99" s="120" customFormat="1">
      <c r="B94" s="228"/>
      <c r="C94" s="228"/>
      <c r="D94" s="3"/>
      <c r="E94" s="228"/>
      <c r="F94" s="228"/>
      <c r="G94" s="3"/>
      <c r="H94" s="228"/>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9"/>
      <c r="AQ94" s="129"/>
      <c r="AR94" s="129"/>
      <c r="AS94" s="129"/>
      <c r="AT94" s="129"/>
      <c r="AU94" s="129"/>
      <c r="AV94" s="129"/>
      <c r="AW94" s="129"/>
      <c r="AX94" s="129"/>
      <c r="AY94" s="129"/>
      <c r="AZ94" s="129"/>
      <c r="BA94" s="129"/>
      <c r="BB94" s="129"/>
      <c r="BC94" s="129"/>
      <c r="BD94" s="129"/>
      <c r="BE94" s="129"/>
      <c r="BF94" s="129"/>
      <c r="BG94" s="129"/>
      <c r="BH94" s="129"/>
      <c r="BI94" s="129"/>
      <c r="BJ94" s="129"/>
      <c r="BK94" s="129"/>
      <c r="BL94" s="129"/>
      <c r="BM94" s="129"/>
      <c r="BN94" s="129"/>
      <c r="BO94" s="129"/>
      <c r="BP94" s="129"/>
      <c r="BQ94" s="129"/>
      <c r="BR94" s="129"/>
      <c r="BS94" s="129"/>
      <c r="BT94" s="129"/>
      <c r="BU94" s="129"/>
      <c r="BV94" s="129"/>
      <c r="BW94" s="129"/>
      <c r="BX94" s="129"/>
      <c r="BY94" s="129"/>
      <c r="BZ94" s="129"/>
      <c r="CA94" s="129"/>
      <c r="CB94" s="129"/>
      <c r="CC94" s="129"/>
      <c r="CD94" s="129"/>
      <c r="CE94" s="129"/>
      <c r="CF94" s="129"/>
      <c r="CG94" s="129"/>
      <c r="CH94" s="129"/>
      <c r="CI94" s="129"/>
      <c r="CJ94" s="129"/>
      <c r="CK94" s="129"/>
      <c r="CL94" s="129"/>
      <c r="CM94" s="129"/>
      <c r="CN94" s="129"/>
      <c r="CO94" s="129"/>
      <c r="CP94" s="129"/>
      <c r="CQ94" s="129"/>
      <c r="CR94" s="129"/>
      <c r="CS94" s="129"/>
      <c r="CT94" s="129"/>
      <c r="CU94" s="129"/>
    </row>
    <row r="95" spans="2:99" s="120" customFormat="1">
      <c r="B95" s="228"/>
      <c r="C95" s="228"/>
      <c r="D95" s="3"/>
      <c r="E95" s="228"/>
      <c r="F95" s="228"/>
      <c r="G95" s="3"/>
      <c r="H95" s="228"/>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9"/>
      <c r="AQ95" s="129"/>
      <c r="AR95" s="129"/>
      <c r="AS95" s="129"/>
      <c r="AT95" s="129"/>
      <c r="AU95" s="129"/>
      <c r="AV95" s="129"/>
      <c r="AW95" s="129"/>
      <c r="AX95" s="129"/>
      <c r="AY95" s="129"/>
      <c r="AZ95" s="129"/>
      <c r="BA95" s="129"/>
      <c r="BB95" s="129"/>
      <c r="BC95" s="129"/>
      <c r="BD95" s="129"/>
      <c r="BE95" s="129"/>
      <c r="BF95" s="129"/>
      <c r="BG95" s="129"/>
      <c r="BH95" s="129"/>
      <c r="BI95" s="129"/>
      <c r="BJ95" s="129"/>
      <c r="BK95" s="129"/>
      <c r="BL95" s="129"/>
      <c r="BM95" s="129"/>
      <c r="BN95" s="129"/>
      <c r="BO95" s="129"/>
      <c r="BP95" s="129"/>
      <c r="BQ95" s="129"/>
      <c r="BR95" s="129"/>
      <c r="BS95" s="129"/>
      <c r="BT95" s="129"/>
      <c r="BU95" s="129"/>
      <c r="BV95" s="129"/>
      <c r="BW95" s="129"/>
      <c r="BX95" s="129"/>
      <c r="BY95" s="129"/>
      <c r="BZ95" s="129"/>
      <c r="CA95" s="129"/>
      <c r="CB95" s="129"/>
      <c r="CC95" s="129"/>
      <c r="CD95" s="129"/>
      <c r="CE95" s="129"/>
      <c r="CF95" s="129"/>
      <c r="CG95" s="129"/>
      <c r="CH95" s="129"/>
      <c r="CI95" s="129"/>
      <c r="CJ95" s="129"/>
      <c r="CK95" s="129"/>
      <c r="CL95" s="129"/>
      <c r="CM95" s="129"/>
      <c r="CN95" s="129"/>
      <c r="CO95" s="129"/>
      <c r="CP95" s="129"/>
      <c r="CQ95" s="129"/>
      <c r="CR95" s="129"/>
      <c r="CS95" s="129"/>
      <c r="CT95" s="129"/>
      <c r="CU95" s="129"/>
    </row>
    <row r="96" spans="2:99" s="120" customFormat="1">
      <c r="B96" s="228"/>
      <c r="C96" s="228"/>
      <c r="D96" s="3"/>
      <c r="E96" s="228"/>
      <c r="F96" s="228"/>
      <c r="G96" s="3"/>
      <c r="H96" s="228"/>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c r="AS96" s="129"/>
      <c r="AT96" s="129"/>
      <c r="AU96" s="129"/>
      <c r="AV96" s="129"/>
      <c r="AW96" s="129"/>
      <c r="AX96" s="129"/>
      <c r="AY96" s="129"/>
      <c r="AZ96" s="129"/>
      <c r="BA96" s="129"/>
      <c r="BB96" s="129"/>
      <c r="BC96" s="129"/>
      <c r="BD96" s="129"/>
      <c r="BE96" s="129"/>
      <c r="BF96" s="129"/>
      <c r="BG96" s="129"/>
      <c r="BH96" s="129"/>
      <c r="BI96" s="129"/>
      <c r="BJ96" s="129"/>
      <c r="BK96" s="129"/>
      <c r="BL96" s="129"/>
      <c r="BM96" s="129"/>
      <c r="BN96" s="129"/>
      <c r="BO96" s="129"/>
      <c r="BP96" s="129"/>
      <c r="BQ96" s="129"/>
      <c r="BR96" s="129"/>
      <c r="BS96" s="129"/>
      <c r="BT96" s="129"/>
      <c r="BU96" s="129"/>
      <c r="BV96" s="129"/>
      <c r="BW96" s="129"/>
      <c r="BX96" s="129"/>
      <c r="BY96" s="129"/>
      <c r="BZ96" s="129"/>
      <c r="CA96" s="129"/>
      <c r="CB96" s="129"/>
      <c r="CC96" s="129"/>
      <c r="CD96" s="129"/>
      <c r="CE96" s="129"/>
      <c r="CF96" s="129"/>
      <c r="CG96" s="129"/>
      <c r="CH96" s="129"/>
      <c r="CI96" s="129"/>
      <c r="CJ96" s="129"/>
      <c r="CK96" s="129"/>
      <c r="CL96" s="129"/>
      <c r="CM96" s="129"/>
      <c r="CN96" s="129"/>
      <c r="CO96" s="129"/>
      <c r="CP96" s="129"/>
      <c r="CQ96" s="129"/>
      <c r="CR96" s="129"/>
      <c r="CS96" s="129"/>
      <c r="CT96" s="129"/>
      <c r="CU96" s="129"/>
    </row>
    <row r="97" spans="2:99" s="120" customFormat="1">
      <c r="B97" s="228"/>
      <c r="C97" s="228"/>
      <c r="D97" s="3"/>
      <c r="E97" s="228"/>
      <c r="F97" s="228"/>
      <c r="G97" s="3"/>
      <c r="H97" s="228"/>
      <c r="I97" s="129"/>
      <c r="J97" s="129"/>
      <c r="K97" s="129"/>
      <c r="L97" s="129"/>
      <c r="M97" s="129"/>
      <c r="N97" s="129"/>
      <c r="O97" s="129"/>
      <c r="P97" s="129"/>
      <c r="Q97" s="129"/>
      <c r="R97" s="129"/>
      <c r="S97" s="129"/>
      <c r="T97" s="129"/>
      <c r="U97" s="129"/>
      <c r="V97" s="129"/>
      <c r="W97" s="129"/>
      <c r="X97" s="129"/>
      <c r="Y97" s="129"/>
      <c r="Z97" s="129"/>
      <c r="AA97" s="129"/>
      <c r="AB97" s="129"/>
      <c r="AC97" s="129"/>
      <c r="AD97" s="129"/>
      <c r="AE97" s="129"/>
      <c r="AF97" s="129"/>
      <c r="AG97" s="129"/>
      <c r="AH97" s="129"/>
      <c r="AI97" s="129"/>
      <c r="AJ97" s="129"/>
      <c r="AK97" s="129"/>
      <c r="AL97" s="129"/>
      <c r="AM97" s="129"/>
      <c r="AN97" s="129"/>
      <c r="AO97" s="129"/>
      <c r="AP97" s="129"/>
      <c r="AQ97" s="129"/>
      <c r="AR97" s="129"/>
      <c r="AS97" s="129"/>
      <c r="AT97" s="129"/>
      <c r="AU97" s="129"/>
      <c r="AV97" s="129"/>
      <c r="AW97" s="129"/>
      <c r="AX97" s="129"/>
      <c r="AY97" s="129"/>
      <c r="AZ97" s="129"/>
      <c r="BA97" s="129"/>
      <c r="BB97" s="129"/>
      <c r="BC97" s="129"/>
      <c r="BD97" s="129"/>
      <c r="BE97" s="129"/>
      <c r="BF97" s="129"/>
      <c r="BG97" s="129"/>
      <c r="BH97" s="129"/>
      <c r="BI97" s="129"/>
      <c r="BJ97" s="129"/>
      <c r="BK97" s="129"/>
      <c r="BL97" s="129"/>
      <c r="BM97" s="129"/>
      <c r="BN97" s="129"/>
      <c r="BO97" s="129"/>
      <c r="BP97" s="129"/>
      <c r="BQ97" s="129"/>
      <c r="BR97" s="129"/>
      <c r="BS97" s="129"/>
      <c r="BT97" s="129"/>
      <c r="BU97" s="129"/>
      <c r="BV97" s="129"/>
      <c r="BW97" s="129"/>
      <c r="BX97" s="129"/>
      <c r="BY97" s="129"/>
      <c r="BZ97" s="129"/>
      <c r="CA97" s="129"/>
      <c r="CB97" s="129"/>
      <c r="CC97" s="129"/>
      <c r="CD97" s="129"/>
      <c r="CE97" s="129"/>
      <c r="CF97" s="129"/>
      <c r="CG97" s="129"/>
      <c r="CH97" s="129"/>
      <c r="CI97" s="129"/>
      <c r="CJ97" s="129"/>
      <c r="CK97" s="129"/>
      <c r="CL97" s="129"/>
      <c r="CM97" s="129"/>
      <c r="CN97" s="129"/>
      <c r="CO97" s="129"/>
      <c r="CP97" s="129"/>
      <c r="CQ97" s="129"/>
      <c r="CR97" s="129"/>
      <c r="CS97" s="129"/>
      <c r="CT97" s="129"/>
      <c r="CU97" s="129"/>
    </row>
    <row r="98" spans="2:99" s="120" customFormat="1">
      <c r="B98" s="228"/>
      <c r="C98" s="228"/>
      <c r="D98" s="3"/>
      <c r="E98" s="228"/>
      <c r="F98" s="228"/>
      <c r="G98" s="3"/>
      <c r="H98" s="228"/>
      <c r="I98" s="129"/>
      <c r="J98" s="129"/>
      <c r="K98" s="129"/>
      <c r="L98" s="129"/>
      <c r="M98" s="129"/>
      <c r="N98" s="129"/>
      <c r="O98" s="129"/>
      <c r="P98" s="129"/>
      <c r="Q98" s="129"/>
      <c r="R98" s="129"/>
      <c r="S98" s="129"/>
      <c r="T98" s="129"/>
      <c r="U98" s="129"/>
      <c r="V98" s="129"/>
      <c r="W98" s="129"/>
      <c r="X98" s="129"/>
      <c r="Y98" s="129"/>
      <c r="Z98" s="129"/>
      <c r="AA98" s="129"/>
      <c r="AB98" s="129"/>
      <c r="AC98" s="129"/>
      <c r="AD98" s="129"/>
      <c r="AE98" s="129"/>
      <c r="AF98" s="129"/>
      <c r="AG98" s="129"/>
      <c r="AH98" s="129"/>
      <c r="AI98" s="129"/>
      <c r="AJ98" s="129"/>
      <c r="AK98" s="129"/>
      <c r="AL98" s="129"/>
      <c r="AM98" s="129"/>
      <c r="AN98" s="129"/>
      <c r="AO98" s="129"/>
      <c r="AP98" s="129"/>
      <c r="AQ98" s="129"/>
      <c r="AR98" s="129"/>
      <c r="AS98" s="129"/>
      <c r="AT98" s="129"/>
      <c r="AU98" s="129"/>
      <c r="AV98" s="129"/>
      <c r="AW98" s="129"/>
      <c r="AX98" s="129"/>
      <c r="AY98" s="129"/>
      <c r="AZ98" s="129"/>
      <c r="BA98" s="129"/>
      <c r="BB98" s="129"/>
      <c r="BC98" s="129"/>
      <c r="BD98" s="129"/>
      <c r="BE98" s="129"/>
      <c r="BF98" s="129"/>
      <c r="BG98" s="129"/>
      <c r="BH98" s="129"/>
      <c r="BI98" s="129"/>
      <c r="BJ98" s="129"/>
      <c r="BK98" s="129"/>
      <c r="BL98" s="129"/>
      <c r="BM98" s="129"/>
      <c r="BN98" s="129"/>
      <c r="BO98" s="129"/>
      <c r="BP98" s="129"/>
      <c r="BQ98" s="129"/>
      <c r="BR98" s="129"/>
      <c r="BS98" s="129"/>
      <c r="BT98" s="129"/>
      <c r="BU98" s="129"/>
      <c r="BV98" s="129"/>
      <c r="BW98" s="129"/>
      <c r="BX98" s="129"/>
      <c r="BY98" s="129"/>
      <c r="BZ98" s="129"/>
      <c r="CA98" s="129"/>
      <c r="CB98" s="129"/>
      <c r="CC98" s="129"/>
      <c r="CD98" s="129"/>
      <c r="CE98" s="129"/>
      <c r="CF98" s="129"/>
      <c r="CG98" s="129"/>
      <c r="CH98" s="129"/>
      <c r="CI98" s="129"/>
      <c r="CJ98" s="129"/>
      <c r="CK98" s="129"/>
      <c r="CL98" s="129"/>
      <c r="CM98" s="129"/>
      <c r="CN98" s="129"/>
      <c r="CO98" s="129"/>
      <c r="CP98" s="129"/>
      <c r="CQ98" s="129"/>
      <c r="CR98" s="129"/>
      <c r="CS98" s="129"/>
      <c r="CT98" s="129"/>
      <c r="CU98" s="129"/>
    </row>
    <row r="99" spans="2:99" s="120" customFormat="1">
      <c r="B99" s="228"/>
      <c r="C99" s="228"/>
      <c r="D99" s="3"/>
      <c r="E99" s="228"/>
      <c r="F99" s="228"/>
      <c r="G99" s="3"/>
      <c r="H99" s="228"/>
      <c r="I99" s="129"/>
      <c r="J99" s="129"/>
      <c r="K99" s="129"/>
      <c r="L99" s="129"/>
      <c r="M99" s="129"/>
      <c r="N99" s="129"/>
      <c r="O99" s="129"/>
      <c r="P99" s="129"/>
      <c r="Q99" s="129"/>
      <c r="R99" s="129"/>
      <c r="S99" s="129"/>
      <c r="T99" s="129"/>
      <c r="U99" s="129"/>
      <c r="V99" s="129"/>
      <c r="W99" s="129"/>
      <c r="X99" s="129"/>
      <c r="Y99" s="129"/>
      <c r="Z99" s="129"/>
      <c r="AA99" s="129"/>
      <c r="AB99" s="129"/>
      <c r="AC99" s="129"/>
      <c r="AD99" s="129"/>
      <c r="AE99" s="129"/>
      <c r="AF99" s="129"/>
      <c r="AG99" s="129"/>
      <c r="AH99" s="129"/>
      <c r="AI99" s="129"/>
      <c r="AJ99" s="129"/>
      <c r="AK99" s="129"/>
      <c r="AL99" s="129"/>
      <c r="AM99" s="129"/>
      <c r="AN99" s="129"/>
      <c r="AO99" s="129"/>
      <c r="AP99" s="129"/>
      <c r="AQ99" s="129"/>
      <c r="AR99" s="129"/>
      <c r="AS99" s="129"/>
      <c r="AT99" s="129"/>
      <c r="AU99" s="129"/>
      <c r="AV99" s="129"/>
      <c r="AW99" s="129"/>
      <c r="AX99" s="129"/>
      <c r="AY99" s="129"/>
      <c r="AZ99" s="129"/>
      <c r="BA99" s="129"/>
      <c r="BB99" s="129"/>
      <c r="BC99" s="129"/>
      <c r="BD99" s="129"/>
      <c r="BE99" s="129"/>
      <c r="BF99" s="129"/>
      <c r="BG99" s="129"/>
      <c r="BH99" s="129"/>
      <c r="BI99" s="129"/>
      <c r="BJ99" s="129"/>
      <c r="BK99" s="129"/>
      <c r="BL99" s="129"/>
      <c r="BM99" s="129"/>
      <c r="BN99" s="129"/>
      <c r="BO99" s="129"/>
      <c r="BP99" s="129"/>
      <c r="BQ99" s="129"/>
      <c r="BR99" s="129"/>
      <c r="BS99" s="129"/>
      <c r="BT99" s="129"/>
      <c r="BU99" s="129"/>
      <c r="BV99" s="129"/>
      <c r="BW99" s="129"/>
      <c r="BX99" s="129"/>
      <c r="BY99" s="129"/>
      <c r="BZ99" s="129"/>
      <c r="CA99" s="129"/>
      <c r="CB99" s="129"/>
      <c r="CC99" s="129"/>
      <c r="CD99" s="129"/>
      <c r="CE99" s="129"/>
      <c r="CF99" s="129"/>
      <c r="CG99" s="129"/>
      <c r="CH99" s="129"/>
      <c r="CI99" s="129"/>
      <c r="CJ99" s="129"/>
      <c r="CK99" s="129"/>
      <c r="CL99" s="129"/>
      <c r="CM99" s="129"/>
      <c r="CN99" s="129"/>
      <c r="CO99" s="129"/>
      <c r="CP99" s="129"/>
      <c r="CQ99" s="129"/>
      <c r="CR99" s="129"/>
      <c r="CS99" s="129"/>
      <c r="CT99" s="129"/>
      <c r="CU99" s="129"/>
    </row>
    <row r="100" spans="2:99" s="120" customFormat="1">
      <c r="B100" s="228"/>
      <c r="C100" s="228"/>
      <c r="D100" s="3"/>
      <c r="E100" s="228"/>
      <c r="F100" s="228"/>
      <c r="G100" s="3"/>
      <c r="H100" s="228"/>
      <c r="I100" s="129"/>
      <c r="J100" s="129"/>
      <c r="K100" s="129"/>
      <c r="L100" s="129"/>
      <c r="M100" s="129"/>
      <c r="N100" s="129"/>
      <c r="O100" s="129"/>
      <c r="P100" s="129"/>
      <c r="Q100" s="129"/>
      <c r="R100" s="129"/>
      <c r="S100" s="129"/>
      <c r="T100" s="129"/>
      <c r="U100" s="129"/>
      <c r="V100" s="129"/>
      <c r="W100" s="129"/>
      <c r="X100" s="129"/>
      <c r="Y100" s="129"/>
      <c r="Z100" s="129"/>
      <c r="AA100" s="129"/>
      <c r="AB100" s="129"/>
      <c r="AC100" s="129"/>
      <c r="AD100" s="129"/>
      <c r="AE100" s="129"/>
      <c r="AF100" s="129"/>
      <c r="AG100" s="129"/>
      <c r="AH100" s="129"/>
      <c r="AI100" s="129"/>
      <c r="AJ100" s="129"/>
      <c r="AK100" s="129"/>
      <c r="AL100" s="129"/>
      <c r="AM100" s="129"/>
      <c r="AN100" s="129"/>
      <c r="AO100" s="129"/>
      <c r="AP100" s="129"/>
      <c r="AQ100" s="129"/>
      <c r="AR100" s="129"/>
      <c r="AS100" s="129"/>
      <c r="AT100" s="129"/>
      <c r="AU100" s="129"/>
      <c r="AV100" s="129"/>
      <c r="AW100" s="129"/>
      <c r="AX100" s="129"/>
      <c r="AY100" s="129"/>
      <c r="AZ100" s="129"/>
      <c r="BA100" s="129"/>
      <c r="BB100" s="129"/>
      <c r="BC100" s="129"/>
      <c r="BD100" s="129"/>
      <c r="BE100" s="129"/>
      <c r="BF100" s="129"/>
      <c r="BG100" s="129"/>
      <c r="BH100" s="129"/>
      <c r="BI100" s="129"/>
      <c r="BJ100" s="129"/>
      <c r="BK100" s="129"/>
      <c r="BL100" s="129"/>
      <c r="BM100" s="129"/>
      <c r="BN100" s="129"/>
      <c r="BO100" s="129"/>
      <c r="BP100" s="129"/>
      <c r="BQ100" s="129"/>
      <c r="BR100" s="129"/>
      <c r="BS100" s="129"/>
      <c r="BT100" s="129"/>
      <c r="BU100" s="129"/>
      <c r="BV100" s="129"/>
      <c r="BW100" s="129"/>
      <c r="BX100" s="129"/>
      <c r="BY100" s="129"/>
      <c r="BZ100" s="129"/>
      <c r="CA100" s="129"/>
      <c r="CB100" s="129"/>
      <c r="CC100" s="129"/>
      <c r="CD100" s="129"/>
      <c r="CE100" s="129"/>
      <c r="CF100" s="129"/>
      <c r="CG100" s="129"/>
      <c r="CH100" s="129"/>
      <c r="CI100" s="129"/>
      <c r="CJ100" s="129"/>
      <c r="CK100" s="129"/>
      <c r="CL100" s="129"/>
      <c r="CM100" s="129"/>
      <c r="CN100" s="129"/>
      <c r="CO100" s="129"/>
      <c r="CP100" s="129"/>
      <c r="CQ100" s="129"/>
      <c r="CR100" s="129"/>
      <c r="CS100" s="129"/>
      <c r="CT100" s="129"/>
      <c r="CU100" s="129"/>
    </row>
    <row r="101" spans="2:99" s="120" customFormat="1">
      <c r="B101" s="228"/>
      <c r="C101" s="228"/>
      <c r="D101" s="3"/>
      <c r="E101" s="228"/>
      <c r="F101" s="228"/>
      <c r="G101" s="3"/>
      <c r="H101" s="228"/>
      <c r="I101" s="129"/>
      <c r="J101" s="129"/>
      <c r="K101" s="129"/>
      <c r="L101" s="129"/>
      <c r="M101" s="129"/>
      <c r="N101" s="129"/>
      <c r="O101" s="129"/>
      <c r="P101" s="129"/>
      <c r="Q101" s="129"/>
      <c r="R101" s="129"/>
      <c r="S101" s="129"/>
      <c r="T101" s="129"/>
      <c r="U101" s="129"/>
      <c r="V101" s="129"/>
      <c r="W101" s="129"/>
      <c r="X101" s="129"/>
      <c r="Y101" s="129"/>
      <c r="Z101" s="129"/>
      <c r="AA101" s="129"/>
      <c r="AB101" s="129"/>
      <c r="AC101" s="129"/>
      <c r="AD101" s="129"/>
      <c r="AE101" s="129"/>
      <c r="AF101" s="129"/>
      <c r="AG101" s="129"/>
      <c r="AH101" s="129"/>
      <c r="AI101" s="129"/>
      <c r="AJ101" s="129"/>
      <c r="AK101" s="129"/>
      <c r="AL101" s="129"/>
      <c r="AM101" s="129"/>
      <c r="AN101" s="129"/>
      <c r="AO101" s="129"/>
      <c r="AP101" s="129"/>
      <c r="AQ101" s="129"/>
      <c r="AR101" s="129"/>
      <c r="AS101" s="129"/>
      <c r="AT101" s="129"/>
      <c r="AU101" s="129"/>
      <c r="AV101" s="129"/>
      <c r="AW101" s="129"/>
      <c r="AX101" s="129"/>
      <c r="AY101" s="129"/>
      <c r="AZ101" s="129"/>
      <c r="BA101" s="129"/>
      <c r="BB101" s="129"/>
      <c r="BC101" s="129"/>
      <c r="BD101" s="129"/>
      <c r="BE101" s="129"/>
      <c r="BF101" s="129"/>
      <c r="BG101" s="129"/>
      <c r="BH101" s="129"/>
      <c r="BI101" s="129"/>
      <c r="BJ101" s="129"/>
      <c r="BK101" s="129"/>
      <c r="BL101" s="129"/>
      <c r="BM101" s="129"/>
      <c r="BN101" s="129"/>
      <c r="BO101" s="129"/>
      <c r="BP101" s="129"/>
      <c r="BQ101" s="129"/>
      <c r="BR101" s="129"/>
      <c r="BS101" s="129"/>
      <c r="BT101" s="129"/>
      <c r="BU101" s="129"/>
      <c r="BV101" s="129"/>
      <c r="BW101" s="129"/>
      <c r="BX101" s="129"/>
      <c r="BY101" s="129"/>
      <c r="BZ101" s="129"/>
      <c r="CA101" s="129"/>
      <c r="CB101" s="129"/>
      <c r="CC101" s="129"/>
      <c r="CD101" s="129"/>
      <c r="CE101" s="129"/>
      <c r="CF101" s="129"/>
      <c r="CG101" s="129"/>
      <c r="CH101" s="129"/>
      <c r="CI101" s="129"/>
      <c r="CJ101" s="129"/>
      <c r="CK101" s="129"/>
      <c r="CL101" s="129"/>
      <c r="CM101" s="129"/>
      <c r="CN101" s="129"/>
      <c r="CO101" s="129"/>
      <c r="CP101" s="129"/>
      <c r="CQ101" s="129"/>
      <c r="CR101" s="129"/>
      <c r="CS101" s="129"/>
      <c r="CT101" s="129"/>
      <c r="CU101" s="129"/>
    </row>
    <row r="102" spans="2:99" s="120" customFormat="1">
      <c r="B102" s="228"/>
      <c r="C102" s="228"/>
      <c r="D102" s="3"/>
      <c r="E102" s="228"/>
      <c r="F102" s="228"/>
      <c r="G102" s="3"/>
      <c r="H102" s="228"/>
      <c r="I102" s="129"/>
      <c r="J102" s="129"/>
      <c r="K102" s="129"/>
      <c r="L102" s="129"/>
      <c r="M102" s="129"/>
      <c r="N102" s="129"/>
      <c r="O102" s="129"/>
      <c r="P102" s="129"/>
      <c r="Q102" s="129"/>
      <c r="R102" s="129"/>
      <c r="S102" s="129"/>
      <c r="T102" s="129"/>
      <c r="U102" s="129"/>
      <c r="V102" s="129"/>
      <c r="W102" s="129"/>
      <c r="X102" s="129"/>
      <c r="Y102" s="129"/>
      <c r="Z102" s="129"/>
      <c r="AA102" s="129"/>
      <c r="AB102" s="129"/>
      <c r="AC102" s="129"/>
      <c r="AD102" s="129"/>
      <c r="AE102" s="129"/>
      <c r="AF102" s="129"/>
      <c r="AG102" s="129"/>
      <c r="AH102" s="129"/>
      <c r="AI102" s="129"/>
      <c r="AJ102" s="129"/>
      <c r="AK102" s="129"/>
      <c r="AL102" s="129"/>
      <c r="AM102" s="129"/>
      <c r="AN102" s="129"/>
      <c r="AO102" s="129"/>
      <c r="AP102" s="129"/>
      <c r="AQ102" s="129"/>
      <c r="AR102" s="129"/>
      <c r="AS102" s="129"/>
      <c r="AT102" s="129"/>
      <c r="AU102" s="129"/>
      <c r="AV102" s="129"/>
      <c r="AW102" s="129"/>
      <c r="AX102" s="129"/>
      <c r="AY102" s="129"/>
      <c r="AZ102" s="129"/>
      <c r="BA102" s="129"/>
      <c r="BB102" s="129"/>
      <c r="BC102" s="129"/>
      <c r="BD102" s="129"/>
      <c r="BE102" s="129"/>
      <c r="BF102" s="129"/>
      <c r="BG102" s="129"/>
      <c r="BH102" s="129"/>
      <c r="BI102" s="129"/>
      <c r="BJ102" s="129"/>
      <c r="BK102" s="129"/>
      <c r="BL102" s="129"/>
      <c r="BM102" s="129"/>
      <c r="BN102" s="129"/>
      <c r="BO102" s="129"/>
      <c r="BP102" s="129"/>
      <c r="BQ102" s="129"/>
      <c r="BR102" s="129"/>
      <c r="BS102" s="129"/>
      <c r="BT102" s="129"/>
      <c r="BU102" s="129"/>
      <c r="BV102" s="129"/>
      <c r="BW102" s="129"/>
      <c r="BX102" s="129"/>
      <c r="BY102" s="129"/>
      <c r="BZ102" s="129"/>
      <c r="CA102" s="129"/>
      <c r="CB102" s="129"/>
      <c r="CC102" s="129"/>
      <c r="CD102" s="129"/>
      <c r="CE102" s="129"/>
      <c r="CF102" s="129"/>
      <c r="CG102" s="129"/>
      <c r="CH102" s="129"/>
      <c r="CI102" s="129"/>
      <c r="CJ102" s="129"/>
      <c r="CK102" s="129"/>
      <c r="CL102" s="129"/>
      <c r="CM102" s="129"/>
      <c r="CN102" s="129"/>
      <c r="CO102" s="129"/>
      <c r="CP102" s="129"/>
      <c r="CQ102" s="129"/>
      <c r="CR102" s="129"/>
      <c r="CS102" s="129"/>
      <c r="CT102" s="129"/>
      <c r="CU102" s="129"/>
    </row>
    <row r="103" spans="2:99" s="120" customFormat="1">
      <c r="B103" s="228"/>
      <c r="C103" s="228"/>
      <c r="D103" s="3"/>
      <c r="E103" s="228"/>
      <c r="F103" s="228"/>
      <c r="G103" s="3"/>
      <c r="H103" s="228"/>
      <c r="I103" s="129"/>
      <c r="J103" s="129"/>
      <c r="K103" s="129"/>
      <c r="L103" s="129"/>
      <c r="M103" s="129"/>
      <c r="N103" s="129"/>
      <c r="O103" s="129"/>
      <c r="P103" s="129"/>
      <c r="Q103" s="129"/>
      <c r="R103" s="129"/>
      <c r="S103" s="129"/>
      <c r="T103" s="129"/>
      <c r="U103" s="129"/>
      <c r="V103" s="129"/>
      <c r="W103" s="129"/>
      <c r="X103" s="129"/>
      <c r="Y103" s="129"/>
      <c r="Z103" s="129"/>
      <c r="AA103" s="129"/>
      <c r="AB103" s="129"/>
      <c r="AC103" s="129"/>
      <c r="AD103" s="129"/>
      <c r="AE103" s="129"/>
      <c r="AF103" s="129"/>
      <c r="AG103" s="129"/>
      <c r="AH103" s="129"/>
      <c r="AI103" s="129"/>
      <c r="AJ103" s="129"/>
      <c r="AK103" s="129"/>
      <c r="AL103" s="129"/>
      <c r="AM103" s="129"/>
      <c r="AN103" s="129"/>
      <c r="AO103" s="129"/>
      <c r="AP103" s="129"/>
      <c r="AQ103" s="129"/>
      <c r="AR103" s="129"/>
      <c r="AS103" s="129"/>
      <c r="AT103" s="129"/>
      <c r="AU103" s="129"/>
      <c r="AV103" s="129"/>
      <c r="AW103" s="129"/>
      <c r="AX103" s="129"/>
      <c r="AY103" s="129"/>
      <c r="AZ103" s="129"/>
      <c r="BA103" s="129"/>
      <c r="BB103" s="129"/>
      <c r="BC103" s="129"/>
      <c r="BD103" s="129"/>
      <c r="BE103" s="129"/>
      <c r="BF103" s="129"/>
      <c r="BG103" s="129"/>
      <c r="BH103" s="129"/>
      <c r="BI103" s="129"/>
      <c r="BJ103" s="129"/>
      <c r="BK103" s="129"/>
      <c r="BL103" s="129"/>
      <c r="BM103" s="129"/>
      <c r="BN103" s="129"/>
      <c r="BO103" s="129"/>
      <c r="BP103" s="129"/>
      <c r="BQ103" s="129"/>
      <c r="BR103" s="129"/>
      <c r="BS103" s="129"/>
      <c r="BT103" s="129"/>
      <c r="BU103" s="129"/>
      <c r="BV103" s="129"/>
      <c r="BW103" s="129"/>
      <c r="BX103" s="129"/>
      <c r="BY103" s="129"/>
      <c r="BZ103" s="129"/>
      <c r="CA103" s="129"/>
      <c r="CB103" s="129"/>
      <c r="CC103" s="129"/>
      <c r="CD103" s="129"/>
      <c r="CE103" s="129"/>
      <c r="CF103" s="129"/>
      <c r="CG103" s="129"/>
      <c r="CH103" s="129"/>
      <c r="CI103" s="129"/>
      <c r="CJ103" s="129"/>
      <c r="CK103" s="129"/>
      <c r="CL103" s="129"/>
      <c r="CM103" s="129"/>
      <c r="CN103" s="129"/>
      <c r="CO103" s="129"/>
      <c r="CP103" s="129"/>
      <c r="CQ103" s="129"/>
      <c r="CR103" s="129"/>
      <c r="CS103" s="129"/>
      <c r="CT103" s="129"/>
      <c r="CU103" s="129"/>
    </row>
    <row r="104" spans="2:99" s="120" customFormat="1">
      <c r="B104" s="228"/>
      <c r="C104" s="228"/>
      <c r="D104" s="3"/>
      <c r="E104" s="228"/>
      <c r="F104" s="228"/>
      <c r="G104" s="3"/>
      <c r="H104" s="228"/>
      <c r="I104" s="129"/>
      <c r="J104" s="129"/>
      <c r="K104" s="129"/>
      <c r="L104" s="129"/>
      <c r="M104" s="129"/>
      <c r="N104" s="129"/>
      <c r="O104" s="129"/>
      <c r="P104" s="129"/>
      <c r="Q104" s="129"/>
      <c r="R104" s="129"/>
      <c r="S104" s="129"/>
      <c r="T104" s="129"/>
      <c r="U104" s="129"/>
      <c r="V104" s="129"/>
      <c r="W104" s="129"/>
      <c r="X104" s="129"/>
      <c r="Y104" s="129"/>
      <c r="Z104" s="129"/>
      <c r="AA104" s="129"/>
      <c r="AB104" s="129"/>
      <c r="AC104" s="129"/>
      <c r="AD104" s="129"/>
      <c r="AE104" s="129"/>
      <c r="AF104" s="129"/>
      <c r="AG104" s="129"/>
      <c r="AH104" s="129"/>
      <c r="AI104" s="129"/>
      <c r="AJ104" s="129"/>
      <c r="AK104" s="129"/>
      <c r="AL104" s="129"/>
      <c r="AM104" s="129"/>
      <c r="AN104" s="129"/>
      <c r="AO104" s="129"/>
      <c r="AP104" s="129"/>
      <c r="AQ104" s="129"/>
      <c r="AR104" s="129"/>
      <c r="AS104" s="129"/>
      <c r="AT104" s="129"/>
      <c r="AU104" s="129"/>
      <c r="AV104" s="129"/>
      <c r="AW104" s="129"/>
      <c r="AX104" s="129"/>
      <c r="AY104" s="129"/>
      <c r="AZ104" s="129"/>
      <c r="BA104" s="129"/>
      <c r="BB104" s="129"/>
      <c r="BC104" s="129"/>
      <c r="BD104" s="129"/>
      <c r="BE104" s="129"/>
      <c r="BF104" s="129"/>
      <c r="BG104" s="129"/>
      <c r="BH104" s="129"/>
      <c r="BI104" s="129"/>
      <c r="BJ104" s="129"/>
      <c r="BK104" s="129"/>
      <c r="BL104" s="129"/>
      <c r="BM104" s="129"/>
      <c r="BN104" s="129"/>
      <c r="BO104" s="129"/>
      <c r="BP104" s="129"/>
      <c r="BQ104" s="129"/>
      <c r="BR104" s="129"/>
      <c r="BS104" s="129"/>
      <c r="BT104" s="129"/>
      <c r="BU104" s="129"/>
      <c r="BV104" s="129"/>
      <c r="BW104" s="129"/>
      <c r="BX104" s="129"/>
      <c r="BY104" s="129"/>
      <c r="BZ104" s="129"/>
      <c r="CA104" s="129"/>
      <c r="CB104" s="129"/>
      <c r="CC104" s="129"/>
      <c r="CD104" s="129"/>
      <c r="CE104" s="129"/>
      <c r="CF104" s="129"/>
      <c r="CG104" s="129"/>
      <c r="CH104" s="129"/>
      <c r="CI104" s="129"/>
      <c r="CJ104" s="129"/>
      <c r="CK104" s="129"/>
      <c r="CL104" s="129"/>
      <c r="CM104" s="129"/>
      <c r="CN104" s="129"/>
      <c r="CO104" s="129"/>
      <c r="CP104" s="129"/>
      <c r="CQ104" s="129"/>
      <c r="CR104" s="129"/>
      <c r="CS104" s="129"/>
      <c r="CT104" s="129"/>
      <c r="CU104" s="129"/>
    </row>
    <row r="105" spans="2:99" s="120" customFormat="1">
      <c r="B105" s="228"/>
      <c r="C105" s="228"/>
      <c r="D105" s="3"/>
      <c r="E105" s="228"/>
      <c r="F105" s="228"/>
      <c r="G105" s="3"/>
      <c r="H105" s="228"/>
      <c r="I105" s="129"/>
      <c r="J105" s="129"/>
      <c r="K105" s="129"/>
      <c r="L105" s="129"/>
      <c r="M105" s="129"/>
      <c r="N105" s="129"/>
      <c r="O105" s="129"/>
      <c r="P105" s="129"/>
      <c r="Q105" s="129"/>
      <c r="R105" s="129"/>
      <c r="S105" s="129"/>
      <c r="T105" s="129"/>
      <c r="U105" s="129"/>
      <c r="V105" s="129"/>
      <c r="W105" s="129"/>
      <c r="X105" s="129"/>
      <c r="Y105" s="129"/>
      <c r="Z105" s="129"/>
      <c r="AA105" s="129"/>
      <c r="AB105" s="129"/>
      <c r="AC105" s="129"/>
      <c r="AD105" s="129"/>
      <c r="AE105" s="129"/>
      <c r="AF105" s="129"/>
      <c r="AG105" s="129"/>
      <c r="AH105" s="129"/>
      <c r="AI105" s="129"/>
      <c r="AJ105" s="129"/>
      <c r="AK105" s="129"/>
      <c r="AL105" s="129"/>
      <c r="AM105" s="129"/>
      <c r="AN105" s="129"/>
      <c r="AO105" s="129"/>
      <c r="AP105" s="129"/>
      <c r="AQ105" s="129"/>
      <c r="AR105" s="129"/>
      <c r="AS105" s="129"/>
      <c r="AT105" s="129"/>
      <c r="AU105" s="129"/>
      <c r="AV105" s="129"/>
      <c r="AW105" s="129"/>
      <c r="AX105" s="129"/>
      <c r="AY105" s="129"/>
      <c r="AZ105" s="129"/>
      <c r="BA105" s="129"/>
      <c r="BB105" s="129"/>
      <c r="BC105" s="129"/>
      <c r="BD105" s="129"/>
      <c r="BE105" s="129"/>
      <c r="BF105" s="129"/>
      <c r="BG105" s="129"/>
      <c r="BH105" s="129"/>
      <c r="BI105" s="129"/>
      <c r="BJ105" s="129"/>
      <c r="BK105" s="129"/>
      <c r="BL105" s="129"/>
      <c r="BM105" s="129"/>
      <c r="BN105" s="129"/>
      <c r="BO105" s="129"/>
      <c r="BP105" s="129"/>
      <c r="BQ105" s="129"/>
      <c r="BR105" s="129"/>
      <c r="BS105" s="129"/>
      <c r="BT105" s="129"/>
      <c r="BU105" s="129"/>
      <c r="BV105" s="129"/>
      <c r="BW105" s="129"/>
      <c r="BX105" s="129"/>
      <c r="BY105" s="129"/>
      <c r="BZ105" s="129"/>
      <c r="CA105" s="129"/>
      <c r="CB105" s="129"/>
      <c r="CC105" s="129"/>
      <c r="CD105" s="129"/>
      <c r="CE105" s="129"/>
      <c r="CF105" s="129"/>
      <c r="CG105" s="129"/>
      <c r="CH105" s="129"/>
      <c r="CI105" s="129"/>
      <c r="CJ105" s="129"/>
      <c r="CK105" s="129"/>
      <c r="CL105" s="129"/>
      <c r="CM105" s="129"/>
      <c r="CN105" s="129"/>
      <c r="CO105" s="129"/>
      <c r="CP105" s="129"/>
      <c r="CQ105" s="129"/>
      <c r="CR105" s="129"/>
      <c r="CS105" s="129"/>
      <c r="CT105" s="129"/>
      <c r="CU105" s="129"/>
    </row>
    <row r="106" spans="2:99" s="120" customFormat="1">
      <c r="B106" s="228"/>
      <c r="C106" s="228"/>
      <c r="D106" s="3"/>
      <c r="E106" s="228"/>
      <c r="F106" s="228"/>
      <c r="G106" s="3"/>
      <c r="H106" s="228"/>
      <c r="I106" s="129"/>
      <c r="J106" s="129"/>
      <c r="K106" s="129"/>
      <c r="L106" s="129"/>
      <c r="M106" s="129"/>
      <c r="N106" s="129"/>
      <c r="O106" s="129"/>
      <c r="P106" s="129"/>
      <c r="Q106" s="129"/>
      <c r="R106" s="129"/>
      <c r="S106" s="129"/>
      <c r="T106" s="129"/>
      <c r="U106" s="129"/>
      <c r="V106" s="129"/>
      <c r="W106" s="129"/>
      <c r="X106" s="129"/>
      <c r="Y106" s="129"/>
      <c r="Z106" s="129"/>
      <c r="AA106" s="129"/>
      <c r="AB106" s="129"/>
      <c r="AC106" s="129"/>
      <c r="AD106" s="129"/>
      <c r="AE106" s="129"/>
      <c r="AF106" s="129"/>
      <c r="AG106" s="129"/>
      <c r="AH106" s="129"/>
      <c r="AI106" s="129"/>
      <c r="AJ106" s="129"/>
      <c r="AK106" s="129"/>
      <c r="AL106" s="129"/>
      <c r="AM106" s="129"/>
      <c r="AN106" s="129"/>
      <c r="AO106" s="129"/>
      <c r="AP106" s="129"/>
      <c r="AQ106" s="129"/>
      <c r="AR106" s="129"/>
      <c r="AS106" s="129"/>
      <c r="AT106" s="129"/>
      <c r="AU106" s="129"/>
      <c r="AV106" s="129"/>
      <c r="AW106" s="129"/>
      <c r="AX106" s="129"/>
      <c r="AY106" s="129"/>
      <c r="AZ106" s="129"/>
      <c r="BA106" s="129"/>
      <c r="BB106" s="129"/>
      <c r="BC106" s="129"/>
      <c r="BD106" s="129"/>
      <c r="BE106" s="129"/>
      <c r="BF106" s="129"/>
      <c r="BG106" s="129"/>
      <c r="BH106" s="129"/>
      <c r="BI106" s="129"/>
      <c r="BJ106" s="129"/>
      <c r="BK106" s="129"/>
      <c r="BL106" s="129"/>
      <c r="BM106" s="129"/>
      <c r="BN106" s="129"/>
      <c r="BO106" s="129"/>
      <c r="BP106" s="129"/>
      <c r="BQ106" s="129"/>
      <c r="BR106" s="129"/>
      <c r="BS106" s="129"/>
      <c r="BT106" s="129"/>
      <c r="BU106" s="129"/>
      <c r="BV106" s="129"/>
      <c r="BW106" s="129"/>
      <c r="BX106" s="129"/>
      <c r="BY106" s="129"/>
      <c r="BZ106" s="129"/>
      <c r="CA106" s="129"/>
      <c r="CB106" s="129"/>
      <c r="CC106" s="129"/>
      <c r="CD106" s="129"/>
      <c r="CE106" s="129"/>
      <c r="CF106" s="129"/>
      <c r="CG106" s="129"/>
      <c r="CH106" s="129"/>
      <c r="CI106" s="129"/>
      <c r="CJ106" s="129"/>
      <c r="CK106" s="129"/>
      <c r="CL106" s="129"/>
      <c r="CM106" s="129"/>
      <c r="CN106" s="129"/>
      <c r="CO106" s="129"/>
      <c r="CP106" s="129"/>
      <c r="CQ106" s="129"/>
      <c r="CR106" s="129"/>
      <c r="CS106" s="129"/>
      <c r="CT106" s="129"/>
      <c r="CU106" s="129"/>
    </row>
    <row r="107" spans="2:99" s="120" customFormat="1">
      <c r="B107" s="228"/>
      <c r="C107" s="228"/>
      <c r="D107" s="3"/>
      <c r="E107" s="228"/>
      <c r="F107" s="228"/>
      <c r="G107" s="3"/>
      <c r="H107" s="228"/>
      <c r="I107" s="129"/>
      <c r="J107" s="129"/>
      <c r="K107" s="129"/>
      <c r="L107" s="129"/>
      <c r="M107" s="129"/>
      <c r="N107" s="129"/>
      <c r="O107" s="129"/>
      <c r="P107" s="129"/>
      <c r="Q107" s="129"/>
      <c r="R107" s="129"/>
      <c r="S107" s="129"/>
      <c r="T107" s="129"/>
      <c r="U107" s="129"/>
      <c r="V107" s="129"/>
      <c r="W107" s="129"/>
      <c r="X107" s="129"/>
      <c r="Y107" s="129"/>
      <c r="Z107" s="129"/>
      <c r="AA107" s="129"/>
      <c r="AB107" s="129"/>
      <c r="AC107" s="129"/>
      <c r="AD107" s="129"/>
      <c r="AE107" s="129"/>
      <c r="AF107" s="129"/>
      <c r="AG107" s="129"/>
      <c r="AH107" s="129"/>
      <c r="AI107" s="129"/>
      <c r="AJ107" s="129"/>
      <c r="AK107" s="129"/>
      <c r="AL107" s="129"/>
      <c r="AM107" s="129"/>
      <c r="AN107" s="129"/>
      <c r="AO107" s="129"/>
      <c r="AP107" s="129"/>
      <c r="AQ107" s="129"/>
      <c r="AR107" s="129"/>
      <c r="AS107" s="129"/>
      <c r="AT107" s="129"/>
      <c r="AU107" s="129"/>
      <c r="AV107" s="129"/>
      <c r="AW107" s="129"/>
      <c r="AX107" s="129"/>
      <c r="AY107" s="129"/>
      <c r="AZ107" s="129"/>
      <c r="BA107" s="129"/>
      <c r="BB107" s="129"/>
      <c r="BC107" s="129"/>
      <c r="BD107" s="129"/>
      <c r="BE107" s="129"/>
      <c r="BF107" s="129"/>
      <c r="BG107" s="129"/>
      <c r="BH107" s="129"/>
      <c r="BI107" s="129"/>
      <c r="BJ107" s="129"/>
      <c r="BK107" s="129"/>
      <c r="BL107" s="129"/>
      <c r="BM107" s="129"/>
      <c r="BN107" s="129"/>
      <c r="BO107" s="129"/>
      <c r="BP107" s="129"/>
      <c r="BQ107" s="129"/>
      <c r="BR107" s="129"/>
      <c r="BS107" s="129"/>
      <c r="BT107" s="129"/>
      <c r="BU107" s="129"/>
      <c r="BV107" s="129"/>
      <c r="BW107" s="129"/>
      <c r="BX107" s="129"/>
      <c r="BY107" s="129"/>
      <c r="BZ107" s="129"/>
      <c r="CA107" s="129"/>
      <c r="CB107" s="129"/>
      <c r="CC107" s="129"/>
      <c r="CD107" s="129"/>
      <c r="CE107" s="129"/>
      <c r="CF107" s="129"/>
      <c r="CG107" s="129"/>
      <c r="CH107" s="129"/>
      <c r="CI107" s="129"/>
      <c r="CJ107" s="129"/>
      <c r="CK107" s="129"/>
      <c r="CL107" s="129"/>
      <c r="CM107" s="129"/>
      <c r="CN107" s="129"/>
      <c r="CO107" s="129"/>
      <c r="CP107" s="129"/>
      <c r="CQ107" s="129"/>
      <c r="CR107" s="129"/>
      <c r="CS107" s="129"/>
      <c r="CT107" s="129"/>
      <c r="CU107" s="129"/>
    </row>
    <row r="108" spans="2:99" s="120" customFormat="1">
      <c r="B108" s="228"/>
      <c r="C108" s="228"/>
      <c r="D108" s="3"/>
      <c r="E108" s="228"/>
      <c r="F108" s="228"/>
      <c r="G108" s="3"/>
      <c r="H108" s="228"/>
      <c r="I108" s="129"/>
      <c r="J108" s="129"/>
      <c r="K108" s="129"/>
      <c r="L108" s="129"/>
      <c r="M108" s="129"/>
      <c r="N108" s="129"/>
      <c r="O108" s="129"/>
      <c r="P108" s="129"/>
      <c r="Q108" s="129"/>
      <c r="R108" s="129"/>
      <c r="S108" s="129"/>
      <c r="T108" s="129"/>
      <c r="U108" s="129"/>
      <c r="V108" s="129"/>
      <c r="W108" s="129"/>
      <c r="X108" s="129"/>
      <c r="Y108" s="129"/>
      <c r="Z108" s="129"/>
      <c r="AA108" s="129"/>
      <c r="AB108" s="129"/>
      <c r="AC108" s="129"/>
      <c r="AD108" s="129"/>
      <c r="AE108" s="129"/>
      <c r="AF108" s="129"/>
      <c r="AG108" s="129"/>
      <c r="AH108" s="129"/>
      <c r="AI108" s="129"/>
      <c r="AJ108" s="129"/>
      <c r="AK108" s="129"/>
      <c r="AL108" s="129"/>
      <c r="AM108" s="129"/>
      <c r="AN108" s="129"/>
      <c r="AO108" s="129"/>
      <c r="AP108" s="129"/>
      <c r="AQ108" s="129"/>
      <c r="AR108" s="129"/>
      <c r="AS108" s="129"/>
      <c r="AT108" s="129"/>
      <c r="AU108" s="129"/>
      <c r="AV108" s="129"/>
      <c r="AW108" s="129"/>
      <c r="AX108" s="129"/>
      <c r="AY108" s="129"/>
      <c r="AZ108" s="129"/>
      <c r="BA108" s="129"/>
      <c r="BB108" s="129"/>
      <c r="BC108" s="129"/>
      <c r="BD108" s="129"/>
      <c r="BE108" s="129"/>
      <c r="BF108" s="129"/>
      <c r="BG108" s="129"/>
      <c r="BH108" s="129"/>
      <c r="BI108" s="129"/>
      <c r="BJ108" s="129"/>
      <c r="BK108" s="129"/>
      <c r="BL108" s="129"/>
      <c r="BM108" s="129"/>
      <c r="BN108" s="129"/>
      <c r="BO108" s="129"/>
      <c r="BP108" s="129"/>
      <c r="BQ108" s="129"/>
      <c r="BR108" s="129"/>
      <c r="BS108" s="129"/>
      <c r="BT108" s="129"/>
      <c r="BU108" s="129"/>
      <c r="BV108" s="129"/>
      <c r="BW108" s="129"/>
      <c r="BX108" s="129"/>
      <c r="BY108" s="129"/>
      <c r="BZ108" s="129"/>
      <c r="CA108" s="129"/>
      <c r="CB108" s="129"/>
      <c r="CC108" s="129"/>
      <c r="CD108" s="129"/>
      <c r="CE108" s="129"/>
      <c r="CF108" s="129"/>
      <c r="CG108" s="129"/>
      <c r="CH108" s="129"/>
      <c r="CI108" s="129"/>
      <c r="CJ108" s="129"/>
      <c r="CK108" s="129"/>
      <c r="CL108" s="129"/>
      <c r="CM108" s="129"/>
      <c r="CN108" s="129"/>
      <c r="CO108" s="129"/>
      <c r="CP108" s="129"/>
      <c r="CQ108" s="129"/>
      <c r="CR108" s="129"/>
      <c r="CS108" s="129"/>
      <c r="CT108" s="129"/>
      <c r="CU108" s="129"/>
    </row>
    <row r="109" spans="2:99" s="120" customFormat="1">
      <c r="B109" s="228"/>
      <c r="C109" s="228"/>
      <c r="D109" s="3"/>
      <c r="E109" s="228"/>
      <c r="F109" s="228"/>
      <c r="G109" s="3"/>
      <c r="H109" s="228"/>
      <c r="I109" s="129"/>
      <c r="J109" s="129"/>
      <c r="K109" s="129"/>
      <c r="L109" s="129"/>
      <c r="M109" s="129"/>
      <c r="N109" s="129"/>
      <c r="O109" s="129"/>
      <c r="P109" s="129"/>
      <c r="Q109" s="129"/>
      <c r="R109" s="129"/>
      <c r="S109" s="129"/>
      <c r="T109" s="129"/>
      <c r="U109" s="129"/>
      <c r="V109" s="129"/>
      <c r="W109" s="129"/>
      <c r="X109" s="129"/>
      <c r="Y109" s="129"/>
      <c r="Z109" s="129"/>
      <c r="AA109" s="129"/>
      <c r="AB109" s="129"/>
      <c r="AC109" s="129"/>
      <c r="AD109" s="129"/>
      <c r="AE109" s="129"/>
      <c r="AF109" s="129"/>
      <c r="AG109" s="129"/>
      <c r="AH109" s="129"/>
      <c r="AI109" s="129"/>
      <c r="AJ109" s="129"/>
      <c r="AK109" s="129"/>
      <c r="AL109" s="129"/>
      <c r="AM109" s="129"/>
      <c r="AN109" s="129"/>
      <c r="AO109" s="129"/>
      <c r="AP109" s="129"/>
      <c r="AQ109" s="129"/>
      <c r="AR109" s="129"/>
      <c r="AS109" s="129"/>
      <c r="AT109" s="129"/>
      <c r="AU109" s="129"/>
      <c r="AV109" s="129"/>
      <c r="AW109" s="129"/>
      <c r="AX109" s="129"/>
      <c r="AY109" s="129"/>
      <c r="AZ109" s="129"/>
      <c r="BA109" s="129"/>
      <c r="BB109" s="129"/>
      <c r="BC109" s="129"/>
      <c r="BD109" s="129"/>
      <c r="BE109" s="129"/>
      <c r="BF109" s="129"/>
      <c r="BG109" s="129"/>
      <c r="BH109" s="129"/>
      <c r="BI109" s="129"/>
      <c r="BJ109" s="129"/>
      <c r="BK109" s="129"/>
      <c r="BL109" s="129"/>
      <c r="BM109" s="129"/>
      <c r="BN109" s="129"/>
      <c r="BO109" s="129"/>
      <c r="BP109" s="129"/>
      <c r="BQ109" s="129"/>
      <c r="BR109" s="129"/>
      <c r="BS109" s="129"/>
      <c r="BT109" s="129"/>
      <c r="BU109" s="129"/>
      <c r="BV109" s="129"/>
      <c r="BW109" s="129"/>
      <c r="BX109" s="129"/>
      <c r="BY109" s="129"/>
      <c r="BZ109" s="129"/>
      <c r="CA109" s="129"/>
      <c r="CB109" s="129"/>
      <c r="CC109" s="129"/>
      <c r="CD109" s="129"/>
      <c r="CE109" s="129"/>
      <c r="CF109" s="129"/>
      <c r="CG109" s="129"/>
      <c r="CH109" s="129"/>
      <c r="CI109" s="129"/>
      <c r="CJ109" s="129"/>
      <c r="CK109" s="129"/>
      <c r="CL109" s="129"/>
      <c r="CM109" s="129"/>
      <c r="CN109" s="129"/>
      <c r="CO109" s="129"/>
      <c r="CP109" s="129"/>
      <c r="CQ109" s="129"/>
      <c r="CR109" s="129"/>
      <c r="CS109" s="129"/>
      <c r="CT109" s="129"/>
      <c r="CU109" s="129"/>
    </row>
    <row r="110" spans="2:99" s="120" customFormat="1">
      <c r="B110" s="228"/>
      <c r="C110" s="228"/>
      <c r="D110" s="3"/>
      <c r="E110" s="228"/>
      <c r="F110" s="228"/>
      <c r="G110" s="3"/>
      <c r="H110" s="228"/>
      <c r="I110" s="129"/>
      <c r="J110" s="129"/>
      <c r="K110" s="129"/>
      <c r="L110" s="129"/>
      <c r="M110" s="129"/>
      <c r="N110" s="129"/>
      <c r="O110" s="129"/>
      <c r="P110" s="129"/>
      <c r="Q110" s="129"/>
      <c r="R110" s="129"/>
      <c r="S110" s="129"/>
      <c r="T110" s="129"/>
      <c r="U110" s="129"/>
      <c r="V110" s="129"/>
      <c r="W110" s="129"/>
      <c r="X110" s="129"/>
      <c r="Y110" s="129"/>
      <c r="Z110" s="129"/>
      <c r="AA110" s="129"/>
      <c r="AB110" s="129"/>
      <c r="AC110" s="129"/>
      <c r="AD110" s="129"/>
      <c r="AE110" s="129"/>
      <c r="AF110" s="129"/>
      <c r="AG110" s="129"/>
      <c r="AH110" s="129"/>
      <c r="AI110" s="129"/>
      <c r="AJ110" s="129"/>
      <c r="AK110" s="129"/>
      <c r="AL110" s="129"/>
      <c r="AM110" s="129"/>
      <c r="AN110" s="129"/>
      <c r="AO110" s="129"/>
      <c r="AP110" s="129"/>
      <c r="AQ110" s="129"/>
      <c r="AR110" s="129"/>
      <c r="AS110" s="129"/>
      <c r="AT110" s="129"/>
      <c r="AU110" s="129"/>
      <c r="AV110" s="129"/>
      <c r="AW110" s="129"/>
      <c r="AX110" s="129"/>
      <c r="AY110" s="129"/>
      <c r="AZ110" s="129"/>
      <c r="BA110" s="129"/>
      <c r="BB110" s="129"/>
      <c r="BC110" s="129"/>
      <c r="BD110" s="129"/>
      <c r="BE110" s="129"/>
      <c r="BF110" s="129"/>
      <c r="BG110" s="129"/>
      <c r="BH110" s="129"/>
      <c r="BI110" s="129"/>
      <c r="BJ110" s="129"/>
      <c r="BK110" s="129"/>
      <c r="BL110" s="129"/>
      <c r="BM110" s="129"/>
      <c r="BN110" s="129"/>
      <c r="BO110" s="129"/>
      <c r="BP110" s="129"/>
      <c r="BQ110" s="129"/>
      <c r="BR110" s="129"/>
      <c r="BS110" s="129"/>
      <c r="BT110" s="129"/>
      <c r="BU110" s="129"/>
      <c r="BV110" s="129"/>
      <c r="BW110" s="129"/>
      <c r="BX110" s="129"/>
      <c r="BY110" s="129"/>
      <c r="BZ110" s="129"/>
      <c r="CA110" s="129"/>
      <c r="CB110" s="129"/>
      <c r="CC110" s="129"/>
      <c r="CD110" s="129"/>
      <c r="CE110" s="129"/>
      <c r="CF110" s="129"/>
      <c r="CG110" s="129"/>
      <c r="CH110" s="129"/>
      <c r="CI110" s="129"/>
      <c r="CJ110" s="129"/>
      <c r="CK110" s="129"/>
      <c r="CL110" s="129"/>
      <c r="CM110" s="129"/>
      <c r="CN110" s="129"/>
      <c r="CO110" s="129"/>
      <c r="CP110" s="129"/>
      <c r="CQ110" s="129"/>
      <c r="CR110" s="129"/>
      <c r="CS110" s="129"/>
      <c r="CT110" s="129"/>
      <c r="CU110" s="129"/>
    </row>
    <row r="111" spans="2:99" s="120" customFormat="1">
      <c r="B111" s="228"/>
      <c r="C111" s="228"/>
      <c r="D111" s="3"/>
      <c r="E111" s="228"/>
      <c r="F111" s="228"/>
      <c r="G111" s="3"/>
      <c r="H111" s="228"/>
      <c r="I111" s="129"/>
      <c r="J111" s="129"/>
      <c r="K111" s="129"/>
      <c r="L111" s="129"/>
      <c r="M111" s="129"/>
      <c r="N111" s="129"/>
      <c r="O111" s="129"/>
      <c r="P111" s="129"/>
      <c r="Q111" s="129"/>
      <c r="R111" s="129"/>
      <c r="S111" s="129"/>
      <c r="T111" s="129"/>
      <c r="U111" s="129"/>
      <c r="V111" s="129"/>
      <c r="W111" s="129"/>
      <c r="X111" s="129"/>
      <c r="Y111" s="129"/>
      <c r="Z111" s="129"/>
      <c r="AA111" s="129"/>
      <c r="AB111" s="129"/>
      <c r="AC111" s="129"/>
      <c r="AD111" s="129"/>
      <c r="AE111" s="129"/>
      <c r="AF111" s="129"/>
      <c r="AG111" s="129"/>
      <c r="AH111" s="129"/>
      <c r="AI111" s="129"/>
      <c r="AJ111" s="129"/>
      <c r="AK111" s="129"/>
      <c r="AL111" s="129"/>
      <c r="AM111" s="129"/>
      <c r="AN111" s="129"/>
      <c r="AO111" s="129"/>
      <c r="AP111" s="129"/>
      <c r="AQ111" s="129"/>
      <c r="AR111" s="129"/>
      <c r="AS111" s="129"/>
      <c r="AT111" s="129"/>
      <c r="AU111" s="129"/>
      <c r="AV111" s="129"/>
      <c r="AW111" s="129"/>
      <c r="AX111" s="129"/>
      <c r="AY111" s="129"/>
      <c r="AZ111" s="129"/>
      <c r="BA111" s="129"/>
      <c r="BB111" s="129"/>
      <c r="BC111" s="129"/>
      <c r="BD111" s="129"/>
      <c r="BE111" s="129"/>
      <c r="BF111" s="129"/>
      <c r="BG111" s="129"/>
      <c r="BH111" s="129"/>
      <c r="BI111" s="129"/>
      <c r="BJ111" s="129"/>
      <c r="BK111" s="129"/>
      <c r="BL111" s="129"/>
      <c r="BM111" s="129"/>
      <c r="BN111" s="129"/>
      <c r="BO111" s="129"/>
      <c r="BP111" s="129"/>
      <c r="BQ111" s="129"/>
      <c r="BR111" s="129"/>
      <c r="BS111" s="129"/>
      <c r="BT111" s="129"/>
      <c r="BU111" s="129"/>
      <c r="BV111" s="129"/>
      <c r="BW111" s="129"/>
      <c r="BX111" s="129"/>
      <c r="BY111" s="129"/>
      <c r="BZ111" s="129"/>
      <c r="CA111" s="129"/>
      <c r="CB111" s="129"/>
      <c r="CC111" s="129"/>
      <c r="CD111" s="129"/>
      <c r="CE111" s="129"/>
      <c r="CF111" s="129"/>
      <c r="CG111" s="129"/>
      <c r="CH111" s="129"/>
      <c r="CI111" s="129"/>
      <c r="CJ111" s="129"/>
      <c r="CK111" s="129"/>
      <c r="CL111" s="129"/>
      <c r="CM111" s="129"/>
      <c r="CN111" s="129"/>
      <c r="CO111" s="129"/>
      <c r="CP111" s="129"/>
      <c r="CQ111" s="129"/>
      <c r="CR111" s="129"/>
      <c r="CS111" s="129"/>
      <c r="CT111" s="129"/>
      <c r="CU111" s="129"/>
    </row>
    <row r="112" spans="2:99" s="120" customFormat="1">
      <c r="B112" s="228"/>
      <c r="C112" s="228"/>
      <c r="D112" s="3"/>
      <c r="E112" s="228"/>
      <c r="F112" s="228"/>
      <c r="G112" s="3"/>
      <c r="H112" s="228"/>
      <c r="I112" s="129"/>
      <c r="J112" s="129"/>
      <c r="K112" s="129"/>
      <c r="L112" s="129"/>
      <c r="M112" s="129"/>
      <c r="N112" s="129"/>
      <c r="O112" s="129"/>
      <c r="P112" s="129"/>
      <c r="Q112" s="129"/>
      <c r="R112" s="129"/>
      <c r="S112" s="129"/>
      <c r="T112" s="129"/>
      <c r="U112" s="129"/>
      <c r="V112" s="129"/>
      <c r="W112" s="129"/>
      <c r="X112" s="129"/>
      <c r="Y112" s="129"/>
      <c r="Z112" s="129"/>
      <c r="AA112" s="129"/>
      <c r="AB112" s="129"/>
      <c r="AC112" s="129"/>
      <c r="AD112" s="129"/>
      <c r="AE112" s="129"/>
      <c r="AF112" s="129"/>
      <c r="AG112" s="129"/>
      <c r="AH112" s="129"/>
      <c r="AI112" s="129"/>
      <c r="AJ112" s="129"/>
      <c r="AK112" s="129"/>
      <c r="AL112" s="129"/>
      <c r="AM112" s="129"/>
      <c r="AN112" s="129"/>
      <c r="AO112" s="129"/>
      <c r="AP112" s="129"/>
      <c r="AQ112" s="129"/>
      <c r="AR112" s="129"/>
      <c r="AS112" s="129"/>
      <c r="AT112" s="129"/>
      <c r="AU112" s="129"/>
      <c r="AV112" s="129"/>
      <c r="AW112" s="129"/>
      <c r="AX112" s="129"/>
      <c r="AY112" s="129"/>
      <c r="AZ112" s="129"/>
      <c r="BA112" s="129"/>
      <c r="BB112" s="129"/>
      <c r="BC112" s="129"/>
      <c r="BD112" s="129"/>
      <c r="BE112" s="129"/>
      <c r="BF112" s="129"/>
      <c r="BG112" s="129"/>
      <c r="BH112" s="129"/>
      <c r="BI112" s="129"/>
      <c r="BJ112" s="129"/>
      <c r="BK112" s="129"/>
      <c r="BL112" s="129"/>
      <c r="BM112" s="129"/>
      <c r="BN112" s="129"/>
      <c r="BO112" s="129"/>
      <c r="BP112" s="129"/>
      <c r="BQ112" s="129"/>
      <c r="BR112" s="129"/>
      <c r="BS112" s="129"/>
      <c r="BT112" s="129"/>
      <c r="BU112" s="129"/>
      <c r="BV112" s="129"/>
      <c r="BW112" s="129"/>
      <c r="BX112" s="129"/>
      <c r="BY112" s="129"/>
      <c r="BZ112" s="129"/>
      <c r="CA112" s="129"/>
      <c r="CB112" s="129"/>
      <c r="CC112" s="129"/>
      <c r="CD112" s="129"/>
      <c r="CE112" s="129"/>
      <c r="CF112" s="129"/>
      <c r="CG112" s="129"/>
      <c r="CH112" s="129"/>
      <c r="CI112" s="129"/>
      <c r="CJ112" s="129"/>
      <c r="CK112" s="129"/>
      <c r="CL112" s="129"/>
      <c r="CM112" s="129"/>
      <c r="CN112" s="129"/>
      <c r="CO112" s="129"/>
      <c r="CP112" s="129"/>
      <c r="CQ112" s="129"/>
      <c r="CR112" s="129"/>
      <c r="CS112" s="129"/>
      <c r="CT112" s="129"/>
      <c r="CU112" s="129"/>
    </row>
    <row r="113" spans="2:99" s="120" customFormat="1">
      <c r="B113" s="228"/>
      <c r="C113" s="228"/>
      <c r="D113" s="3"/>
      <c r="E113" s="228"/>
      <c r="F113" s="228"/>
      <c r="G113" s="3"/>
      <c r="H113" s="228"/>
      <c r="I113" s="129"/>
      <c r="J113" s="129"/>
      <c r="K113" s="129"/>
      <c r="L113" s="129"/>
      <c r="M113" s="129"/>
      <c r="N113" s="129"/>
      <c r="O113" s="129"/>
      <c r="P113" s="129"/>
      <c r="Q113" s="129"/>
      <c r="R113" s="129"/>
      <c r="S113" s="129"/>
      <c r="T113" s="129"/>
      <c r="U113" s="129"/>
      <c r="V113" s="129"/>
      <c r="W113" s="129"/>
      <c r="X113" s="129"/>
      <c r="Y113" s="129"/>
      <c r="Z113" s="129"/>
      <c r="AA113" s="129"/>
      <c r="AB113" s="129"/>
      <c r="AC113" s="129"/>
      <c r="AD113" s="129"/>
      <c r="AE113" s="129"/>
      <c r="AF113" s="129"/>
      <c r="AG113" s="129"/>
      <c r="AH113" s="129"/>
      <c r="AI113" s="129"/>
      <c r="AJ113" s="129"/>
      <c r="AK113" s="129"/>
      <c r="AL113" s="129"/>
      <c r="AM113" s="129"/>
      <c r="AN113" s="129"/>
      <c r="AO113" s="129"/>
      <c r="AP113" s="129"/>
      <c r="AQ113" s="129"/>
      <c r="AR113" s="129"/>
      <c r="AS113" s="129"/>
      <c r="AT113" s="129"/>
      <c r="AU113" s="129"/>
      <c r="AV113" s="129"/>
      <c r="AW113" s="129"/>
      <c r="AX113" s="129"/>
      <c r="AY113" s="129"/>
      <c r="AZ113" s="129"/>
      <c r="BA113" s="129"/>
      <c r="BB113" s="129"/>
      <c r="BC113" s="129"/>
      <c r="BD113" s="129"/>
      <c r="BE113" s="129"/>
      <c r="BF113" s="129"/>
      <c r="BG113" s="129"/>
      <c r="BH113" s="129"/>
      <c r="BI113" s="129"/>
      <c r="BJ113" s="129"/>
      <c r="BK113" s="129"/>
      <c r="BL113" s="129"/>
      <c r="BM113" s="129"/>
      <c r="BN113" s="129"/>
      <c r="BO113" s="129"/>
      <c r="BP113" s="129"/>
      <c r="BQ113" s="129"/>
      <c r="BR113" s="129"/>
      <c r="BS113" s="129"/>
      <c r="BT113" s="129"/>
      <c r="BU113" s="129"/>
      <c r="BV113" s="129"/>
      <c r="BW113" s="129"/>
      <c r="BX113" s="129"/>
      <c r="BY113" s="129"/>
      <c r="BZ113" s="129"/>
      <c r="CA113" s="129"/>
      <c r="CB113" s="129"/>
      <c r="CC113" s="129"/>
      <c r="CD113" s="129"/>
      <c r="CE113" s="129"/>
      <c r="CF113" s="129"/>
      <c r="CG113" s="129"/>
      <c r="CH113" s="129"/>
      <c r="CI113" s="129"/>
      <c r="CJ113" s="129"/>
      <c r="CK113" s="129"/>
      <c r="CL113" s="129"/>
      <c r="CM113" s="129"/>
      <c r="CN113" s="129"/>
      <c r="CO113" s="129"/>
      <c r="CP113" s="129"/>
      <c r="CQ113" s="129"/>
      <c r="CR113" s="129"/>
      <c r="CS113" s="129"/>
      <c r="CT113" s="129"/>
      <c r="CU113" s="129"/>
    </row>
    <row r="114" spans="2:99" s="120" customFormat="1">
      <c r="B114" s="228"/>
      <c r="C114" s="228"/>
      <c r="D114" s="3"/>
      <c r="E114" s="228"/>
      <c r="F114" s="228"/>
      <c r="G114" s="3"/>
      <c r="H114" s="228"/>
      <c r="I114" s="129"/>
      <c r="J114" s="129"/>
      <c r="K114" s="129"/>
      <c r="L114" s="129"/>
      <c r="M114" s="129"/>
      <c r="N114" s="129"/>
      <c r="O114" s="129"/>
      <c r="P114" s="129"/>
      <c r="Q114" s="129"/>
      <c r="R114" s="129"/>
      <c r="S114" s="129"/>
      <c r="T114" s="129"/>
      <c r="U114" s="129"/>
      <c r="V114" s="129"/>
      <c r="W114" s="129"/>
      <c r="X114" s="129"/>
      <c r="Y114" s="129"/>
      <c r="Z114" s="129"/>
      <c r="AA114" s="129"/>
      <c r="AB114" s="129"/>
      <c r="AC114" s="129"/>
      <c r="AD114" s="129"/>
      <c r="AE114" s="129"/>
      <c r="AF114" s="129"/>
      <c r="AG114" s="129"/>
      <c r="AH114" s="129"/>
      <c r="AI114" s="129"/>
      <c r="AJ114" s="129"/>
      <c r="AK114" s="129"/>
      <c r="AL114" s="129"/>
      <c r="AM114" s="129"/>
      <c r="AN114" s="129"/>
      <c r="AO114" s="129"/>
      <c r="AP114" s="129"/>
      <c r="AQ114" s="129"/>
      <c r="AR114" s="129"/>
      <c r="AS114" s="129"/>
      <c r="AT114" s="129"/>
      <c r="AU114" s="129"/>
      <c r="AV114" s="129"/>
      <c r="AW114" s="129"/>
      <c r="AX114" s="129"/>
      <c r="AY114" s="129"/>
      <c r="AZ114" s="129"/>
      <c r="BA114" s="129"/>
      <c r="BB114" s="129"/>
      <c r="BC114" s="129"/>
      <c r="BD114" s="129"/>
      <c r="BE114" s="129"/>
      <c r="BF114" s="129"/>
      <c r="BG114" s="129"/>
      <c r="BH114" s="129"/>
      <c r="BI114" s="129"/>
      <c r="BJ114" s="129"/>
      <c r="BK114" s="129"/>
      <c r="BL114" s="129"/>
      <c r="BM114" s="129"/>
      <c r="BN114" s="129"/>
      <c r="BO114" s="129"/>
      <c r="BP114" s="129"/>
      <c r="BQ114" s="129"/>
      <c r="BR114" s="129"/>
      <c r="BS114" s="129"/>
      <c r="BT114" s="129"/>
      <c r="BU114" s="129"/>
      <c r="BV114" s="129"/>
      <c r="BW114" s="129"/>
      <c r="BX114" s="129"/>
      <c r="BY114" s="129"/>
      <c r="BZ114" s="129"/>
      <c r="CA114" s="129"/>
      <c r="CB114" s="129"/>
      <c r="CC114" s="129"/>
      <c r="CD114" s="129"/>
      <c r="CE114" s="129"/>
      <c r="CF114" s="129"/>
      <c r="CG114" s="129"/>
      <c r="CH114" s="129"/>
      <c r="CI114" s="129"/>
      <c r="CJ114" s="129"/>
      <c r="CK114" s="129"/>
      <c r="CL114" s="129"/>
      <c r="CM114" s="129"/>
      <c r="CN114" s="129"/>
      <c r="CO114" s="129"/>
      <c r="CP114" s="129"/>
      <c r="CQ114" s="129"/>
      <c r="CR114" s="129"/>
      <c r="CS114" s="129"/>
      <c r="CT114" s="129"/>
      <c r="CU114" s="129"/>
    </row>
    <row r="115" spans="2:99" s="120" customFormat="1">
      <c r="B115" s="228"/>
      <c r="C115" s="228"/>
      <c r="D115" s="3"/>
      <c r="E115" s="228"/>
      <c r="F115" s="228"/>
      <c r="G115" s="3"/>
      <c r="H115" s="228"/>
      <c r="I115" s="129"/>
      <c r="J115" s="129"/>
      <c r="K115" s="129"/>
      <c r="L115" s="129"/>
      <c r="M115" s="129"/>
      <c r="N115" s="129"/>
      <c r="O115" s="129"/>
      <c r="P115" s="129"/>
      <c r="Q115" s="129"/>
      <c r="R115" s="129"/>
      <c r="S115" s="129"/>
      <c r="T115" s="129"/>
      <c r="U115" s="129"/>
      <c r="V115" s="129"/>
      <c r="W115" s="129"/>
      <c r="X115" s="129"/>
      <c r="Y115" s="129"/>
      <c r="Z115" s="129"/>
      <c r="AA115" s="129"/>
      <c r="AB115" s="129"/>
      <c r="AC115" s="129"/>
      <c r="AD115" s="129"/>
      <c r="AE115" s="129"/>
      <c r="AF115" s="129"/>
      <c r="AG115" s="129"/>
      <c r="AH115" s="129"/>
      <c r="AI115" s="129"/>
      <c r="AJ115" s="129"/>
      <c r="AK115" s="129"/>
      <c r="AL115" s="129"/>
      <c r="AM115" s="129"/>
      <c r="AN115" s="129"/>
      <c r="AO115" s="129"/>
      <c r="AP115" s="129"/>
      <c r="AQ115" s="129"/>
      <c r="AR115" s="129"/>
      <c r="AS115" s="129"/>
      <c r="AT115" s="129"/>
      <c r="AU115" s="129"/>
      <c r="AV115" s="129"/>
      <c r="AW115" s="129"/>
      <c r="AX115" s="129"/>
      <c r="AY115" s="129"/>
      <c r="AZ115" s="129"/>
      <c r="BA115" s="129"/>
      <c r="BB115" s="129"/>
      <c r="BC115" s="129"/>
      <c r="BD115" s="129"/>
      <c r="BE115" s="129"/>
      <c r="BF115" s="129"/>
      <c r="BG115" s="129"/>
      <c r="BH115" s="129"/>
      <c r="BI115" s="129"/>
      <c r="BJ115" s="129"/>
      <c r="BK115" s="129"/>
      <c r="BL115" s="129"/>
      <c r="BM115" s="129"/>
      <c r="BN115" s="129"/>
      <c r="BO115" s="129"/>
      <c r="BP115" s="129"/>
      <c r="BQ115" s="129"/>
      <c r="BR115" s="129"/>
      <c r="BS115" s="129"/>
      <c r="BT115" s="129"/>
      <c r="BU115" s="129"/>
      <c r="BV115" s="129"/>
      <c r="BW115" s="129"/>
      <c r="BX115" s="129"/>
      <c r="BY115" s="129"/>
      <c r="BZ115" s="129"/>
      <c r="CA115" s="129"/>
      <c r="CB115" s="129"/>
      <c r="CC115" s="129"/>
      <c r="CD115" s="129"/>
      <c r="CE115" s="129"/>
      <c r="CF115" s="129"/>
      <c r="CG115" s="129"/>
      <c r="CH115" s="129"/>
      <c r="CI115" s="129"/>
      <c r="CJ115" s="129"/>
      <c r="CK115" s="129"/>
      <c r="CL115" s="129"/>
      <c r="CM115" s="129"/>
      <c r="CN115" s="129"/>
      <c r="CO115" s="129"/>
      <c r="CP115" s="129"/>
      <c r="CQ115" s="129"/>
      <c r="CR115" s="129"/>
      <c r="CS115" s="129"/>
      <c r="CT115" s="129"/>
      <c r="CU115" s="129"/>
    </row>
    <row r="116" spans="2:99" s="120" customFormat="1">
      <c r="B116" s="228"/>
      <c r="C116" s="228"/>
      <c r="D116" s="3"/>
      <c r="E116" s="228"/>
      <c r="F116" s="228"/>
      <c r="G116" s="3"/>
      <c r="H116" s="228"/>
      <c r="I116" s="129"/>
      <c r="J116" s="129"/>
      <c r="K116" s="129"/>
      <c r="L116" s="129"/>
      <c r="M116" s="129"/>
      <c r="N116" s="129"/>
      <c r="O116" s="129"/>
      <c r="P116" s="129"/>
      <c r="Q116" s="129"/>
      <c r="R116" s="129"/>
      <c r="S116" s="129"/>
      <c r="T116" s="129"/>
      <c r="U116" s="129"/>
      <c r="V116" s="129"/>
      <c r="W116" s="129"/>
      <c r="X116" s="129"/>
      <c r="Y116" s="129"/>
      <c r="Z116" s="129"/>
      <c r="AA116" s="129"/>
      <c r="AB116" s="129"/>
      <c r="AC116" s="129"/>
      <c r="AD116" s="129"/>
      <c r="AE116" s="129"/>
      <c r="AF116" s="129"/>
      <c r="AG116" s="129"/>
      <c r="AH116" s="129"/>
      <c r="AI116" s="129"/>
      <c r="AJ116" s="129"/>
      <c r="AK116" s="129"/>
      <c r="AL116" s="129"/>
      <c r="AM116" s="129"/>
      <c r="AN116" s="129"/>
      <c r="AO116" s="129"/>
      <c r="AP116" s="129"/>
      <c r="AQ116" s="129"/>
      <c r="AR116" s="129"/>
      <c r="AS116" s="129"/>
      <c r="AT116" s="129"/>
      <c r="AU116" s="129"/>
      <c r="AV116" s="129"/>
      <c r="AW116" s="129"/>
      <c r="AX116" s="129"/>
      <c r="AY116" s="129"/>
      <c r="AZ116" s="129"/>
      <c r="BA116" s="129"/>
      <c r="BB116" s="129"/>
      <c r="BC116" s="129"/>
      <c r="BD116" s="129"/>
      <c r="BE116" s="129"/>
      <c r="BF116" s="129"/>
      <c r="BG116" s="129"/>
      <c r="BH116" s="129"/>
      <c r="BI116" s="129"/>
      <c r="BJ116" s="129"/>
      <c r="BK116" s="129"/>
      <c r="BL116" s="129"/>
      <c r="BM116" s="129"/>
      <c r="BN116" s="129"/>
      <c r="BO116" s="129"/>
      <c r="BP116" s="129"/>
      <c r="BQ116" s="129"/>
      <c r="BR116" s="129"/>
      <c r="BS116" s="129"/>
      <c r="BT116" s="129"/>
      <c r="BU116" s="129"/>
      <c r="BV116" s="129"/>
      <c r="BW116" s="129"/>
      <c r="BX116" s="129"/>
      <c r="BY116" s="129"/>
      <c r="BZ116" s="129"/>
      <c r="CA116" s="129"/>
      <c r="CB116" s="129"/>
      <c r="CC116" s="129"/>
      <c r="CD116" s="129"/>
      <c r="CE116" s="129"/>
      <c r="CF116" s="129"/>
      <c r="CG116" s="129"/>
      <c r="CH116" s="129"/>
      <c r="CI116" s="129"/>
      <c r="CJ116" s="129"/>
      <c r="CK116" s="129"/>
      <c r="CL116" s="129"/>
      <c r="CM116" s="129"/>
      <c r="CN116" s="129"/>
      <c r="CO116" s="129"/>
      <c r="CP116" s="129"/>
      <c r="CQ116" s="129"/>
      <c r="CR116" s="129"/>
      <c r="CS116" s="129"/>
      <c r="CT116" s="129"/>
      <c r="CU116" s="129"/>
    </row>
    <row r="117" spans="2:99" s="120" customFormat="1">
      <c r="B117" s="228"/>
      <c r="C117" s="228"/>
      <c r="D117" s="3"/>
      <c r="E117" s="228"/>
      <c r="F117" s="228"/>
      <c r="G117" s="3"/>
      <c r="H117" s="228"/>
      <c r="I117" s="129"/>
      <c r="J117" s="129"/>
      <c r="K117" s="129"/>
      <c r="L117" s="129"/>
      <c r="M117" s="129"/>
      <c r="N117" s="129"/>
      <c r="O117" s="129"/>
      <c r="P117" s="129"/>
      <c r="Q117" s="129"/>
      <c r="R117" s="129"/>
      <c r="S117" s="129"/>
      <c r="T117" s="129"/>
      <c r="U117" s="129"/>
      <c r="V117" s="129"/>
      <c r="W117" s="129"/>
      <c r="X117" s="129"/>
      <c r="Y117" s="129"/>
      <c r="Z117" s="129"/>
      <c r="AA117" s="129"/>
      <c r="AB117" s="129"/>
      <c r="AC117" s="129"/>
      <c r="AD117" s="129"/>
      <c r="AE117" s="129"/>
      <c r="AF117" s="129"/>
      <c r="AG117" s="129"/>
      <c r="AH117" s="129"/>
      <c r="AI117" s="129"/>
      <c r="AJ117" s="129"/>
      <c r="AK117" s="129"/>
      <c r="AL117" s="129"/>
      <c r="AM117" s="129"/>
      <c r="AN117" s="129"/>
      <c r="AO117" s="129"/>
      <c r="AP117" s="129"/>
      <c r="AQ117" s="129"/>
      <c r="AR117" s="129"/>
      <c r="AS117" s="129"/>
      <c r="AT117" s="129"/>
      <c r="AU117" s="129"/>
      <c r="AV117" s="129"/>
      <c r="AW117" s="129"/>
      <c r="AX117" s="129"/>
      <c r="AY117" s="129"/>
      <c r="AZ117" s="129"/>
      <c r="BA117" s="129"/>
      <c r="BB117" s="129"/>
      <c r="BC117" s="129"/>
      <c r="BD117" s="129"/>
      <c r="BE117" s="129"/>
      <c r="BF117" s="129"/>
      <c r="BG117" s="129"/>
      <c r="BH117" s="129"/>
      <c r="BI117" s="129"/>
      <c r="BJ117" s="129"/>
      <c r="BK117" s="129"/>
      <c r="BL117" s="129"/>
      <c r="BM117" s="129"/>
      <c r="BN117" s="129"/>
      <c r="BO117" s="129"/>
      <c r="BP117" s="129"/>
      <c r="BQ117" s="129"/>
      <c r="BR117" s="129"/>
      <c r="BS117" s="129"/>
      <c r="BT117" s="129"/>
      <c r="BU117" s="129"/>
      <c r="BV117" s="129"/>
      <c r="BW117" s="129"/>
      <c r="BX117" s="129"/>
      <c r="BY117" s="129"/>
      <c r="BZ117" s="129"/>
      <c r="CA117" s="129"/>
      <c r="CB117" s="129"/>
      <c r="CC117" s="129"/>
      <c r="CD117" s="129"/>
      <c r="CE117" s="129"/>
      <c r="CF117" s="129"/>
      <c r="CG117" s="129"/>
      <c r="CH117" s="129"/>
      <c r="CI117" s="129"/>
      <c r="CJ117" s="129"/>
      <c r="CK117" s="129"/>
      <c r="CL117" s="129"/>
      <c r="CM117" s="129"/>
      <c r="CN117" s="129"/>
      <c r="CO117" s="129"/>
      <c r="CP117" s="129"/>
      <c r="CQ117" s="129"/>
      <c r="CR117" s="129"/>
      <c r="CS117" s="129"/>
      <c r="CT117" s="129"/>
      <c r="CU117" s="129"/>
    </row>
    <row r="118" spans="2:99" s="120" customFormat="1">
      <c r="B118" s="228"/>
      <c r="C118" s="228"/>
      <c r="D118" s="3"/>
      <c r="E118" s="228"/>
      <c r="F118" s="228"/>
      <c r="G118" s="3"/>
      <c r="H118" s="228"/>
      <c r="I118" s="129"/>
      <c r="J118" s="129"/>
      <c r="K118" s="129"/>
      <c r="L118" s="129"/>
      <c r="M118" s="129"/>
      <c r="N118" s="129"/>
      <c r="O118" s="129"/>
      <c r="P118" s="129"/>
      <c r="Q118" s="129"/>
      <c r="R118" s="129"/>
      <c r="S118" s="129"/>
      <c r="T118" s="129"/>
      <c r="U118" s="129"/>
      <c r="V118" s="129"/>
      <c r="W118" s="129"/>
      <c r="X118" s="129"/>
      <c r="Y118" s="129"/>
      <c r="Z118" s="129"/>
      <c r="AA118" s="129"/>
      <c r="AB118" s="129"/>
      <c r="AC118" s="129"/>
      <c r="AD118" s="129"/>
      <c r="AE118" s="129"/>
      <c r="AF118" s="129"/>
      <c r="AG118" s="129"/>
      <c r="AH118" s="129"/>
      <c r="AI118" s="129"/>
      <c r="AJ118" s="129"/>
      <c r="AK118" s="129"/>
      <c r="AL118" s="129"/>
      <c r="AM118" s="129"/>
      <c r="AN118" s="129"/>
      <c r="AO118" s="129"/>
      <c r="AP118" s="129"/>
      <c r="AQ118" s="129"/>
      <c r="AR118" s="129"/>
      <c r="AS118" s="129"/>
      <c r="AT118" s="129"/>
      <c r="AU118" s="129"/>
      <c r="AV118" s="129"/>
      <c r="AW118" s="129"/>
      <c r="AX118" s="129"/>
      <c r="AY118" s="129"/>
      <c r="AZ118" s="129"/>
      <c r="BA118" s="129"/>
      <c r="BB118" s="129"/>
      <c r="BC118" s="129"/>
      <c r="BD118" s="129"/>
      <c r="BE118" s="129"/>
      <c r="BF118" s="129"/>
      <c r="BG118" s="129"/>
      <c r="BH118" s="129"/>
      <c r="BI118" s="129"/>
      <c r="BJ118" s="129"/>
      <c r="BK118" s="129"/>
      <c r="BL118" s="129"/>
      <c r="BM118" s="129"/>
      <c r="BN118" s="129"/>
      <c r="BO118" s="129"/>
      <c r="BP118" s="129"/>
      <c r="BQ118" s="129"/>
      <c r="BR118" s="129"/>
      <c r="BS118" s="129"/>
      <c r="BT118" s="129"/>
      <c r="BU118" s="129"/>
      <c r="BV118" s="129"/>
      <c r="BW118" s="129"/>
      <c r="BX118" s="129"/>
      <c r="BY118" s="129"/>
      <c r="BZ118" s="129"/>
      <c r="CA118" s="129"/>
      <c r="CB118" s="129"/>
      <c r="CC118" s="129"/>
      <c r="CD118" s="129"/>
      <c r="CE118" s="129"/>
      <c r="CF118" s="129"/>
      <c r="CG118" s="129"/>
      <c r="CH118" s="129"/>
      <c r="CI118" s="129"/>
      <c r="CJ118" s="129"/>
      <c r="CK118" s="129"/>
      <c r="CL118" s="129"/>
      <c r="CM118" s="129"/>
      <c r="CN118" s="129"/>
      <c r="CO118" s="129"/>
      <c r="CP118" s="129"/>
      <c r="CQ118" s="129"/>
      <c r="CR118" s="129"/>
      <c r="CS118" s="129"/>
      <c r="CT118" s="129"/>
      <c r="CU118" s="129"/>
    </row>
    <row r="119" spans="2:99" s="120" customFormat="1">
      <c r="B119" s="228"/>
      <c r="C119" s="228"/>
      <c r="D119" s="3"/>
      <c r="E119" s="228"/>
      <c r="F119" s="228"/>
      <c r="G119" s="3"/>
      <c r="H119" s="228"/>
      <c r="I119" s="129"/>
      <c r="J119" s="129"/>
      <c r="K119" s="129"/>
      <c r="L119" s="129"/>
      <c r="M119" s="129"/>
      <c r="N119" s="129"/>
      <c r="O119" s="129"/>
      <c r="P119" s="129"/>
      <c r="Q119" s="129"/>
      <c r="R119" s="129"/>
      <c r="S119" s="129"/>
      <c r="T119" s="129"/>
      <c r="U119" s="129"/>
      <c r="V119" s="129"/>
      <c r="W119" s="129"/>
      <c r="X119" s="129"/>
      <c r="Y119" s="129"/>
      <c r="Z119" s="129"/>
      <c r="AA119" s="129"/>
      <c r="AB119" s="129"/>
      <c r="AC119" s="129"/>
      <c r="AD119" s="129"/>
      <c r="AE119" s="129"/>
      <c r="AF119" s="129"/>
      <c r="AG119" s="129"/>
      <c r="AH119" s="129"/>
      <c r="AI119" s="129"/>
      <c r="AJ119" s="129"/>
      <c r="AK119" s="129"/>
      <c r="AL119" s="129"/>
      <c r="AM119" s="129"/>
      <c r="AN119" s="129"/>
      <c r="AO119" s="129"/>
      <c r="AP119" s="129"/>
      <c r="AQ119" s="129"/>
      <c r="AR119" s="129"/>
      <c r="AS119" s="129"/>
      <c r="AT119" s="129"/>
      <c r="AU119" s="129"/>
      <c r="AV119" s="129"/>
      <c r="AW119" s="129"/>
      <c r="AX119" s="129"/>
      <c r="AY119" s="129"/>
      <c r="AZ119" s="129"/>
      <c r="BA119" s="129"/>
      <c r="BB119" s="129"/>
      <c r="BC119" s="129"/>
      <c r="BD119" s="129"/>
      <c r="BE119" s="129"/>
      <c r="BF119" s="129"/>
      <c r="BG119" s="129"/>
      <c r="BH119" s="129"/>
      <c r="BI119" s="129"/>
      <c r="BJ119" s="129"/>
      <c r="BK119" s="129"/>
      <c r="BL119" s="129"/>
      <c r="BM119" s="129"/>
      <c r="BN119" s="129"/>
      <c r="BO119" s="129"/>
      <c r="BP119" s="129"/>
      <c r="BQ119" s="129"/>
      <c r="BR119" s="129"/>
      <c r="BS119" s="129"/>
      <c r="BT119" s="129"/>
      <c r="BU119" s="129"/>
      <c r="BV119" s="129"/>
      <c r="BW119" s="129"/>
      <c r="BX119" s="129"/>
      <c r="BY119" s="129"/>
      <c r="BZ119" s="129"/>
      <c r="CA119" s="129"/>
      <c r="CB119" s="129"/>
      <c r="CC119" s="129"/>
      <c r="CD119" s="129"/>
      <c r="CE119" s="129"/>
      <c r="CF119" s="129"/>
      <c r="CG119" s="129"/>
      <c r="CH119" s="129"/>
      <c r="CI119" s="129"/>
      <c r="CJ119" s="129"/>
      <c r="CK119" s="129"/>
      <c r="CL119" s="129"/>
      <c r="CM119" s="129"/>
      <c r="CN119" s="129"/>
      <c r="CO119" s="129"/>
      <c r="CP119" s="129"/>
      <c r="CQ119" s="129"/>
      <c r="CR119" s="129"/>
      <c r="CS119" s="129"/>
      <c r="CT119" s="129"/>
      <c r="CU119" s="129"/>
    </row>
    <row r="120" spans="2:99" s="120" customFormat="1">
      <c r="B120" s="228"/>
      <c r="C120" s="228"/>
      <c r="D120" s="3"/>
      <c r="E120" s="228"/>
      <c r="F120" s="228"/>
      <c r="G120" s="3"/>
      <c r="H120" s="228"/>
      <c r="I120" s="129"/>
      <c r="J120" s="129"/>
      <c r="K120" s="129"/>
      <c r="L120" s="129"/>
      <c r="M120" s="129"/>
      <c r="N120" s="129"/>
      <c r="O120" s="129"/>
      <c r="P120" s="129"/>
      <c r="Q120" s="129"/>
      <c r="R120" s="129"/>
      <c r="S120" s="129"/>
      <c r="T120" s="129"/>
      <c r="U120" s="129"/>
      <c r="V120" s="129"/>
      <c r="W120" s="129"/>
      <c r="X120" s="129"/>
      <c r="Y120" s="129"/>
      <c r="Z120" s="129"/>
      <c r="AA120" s="129"/>
      <c r="AB120" s="129"/>
      <c r="AC120" s="129"/>
      <c r="AD120" s="129"/>
      <c r="AE120" s="129"/>
      <c r="AF120" s="129"/>
      <c r="AG120" s="129"/>
      <c r="AH120" s="129"/>
      <c r="AI120" s="129"/>
      <c r="AJ120" s="129"/>
      <c r="AK120" s="129"/>
      <c r="AL120" s="129"/>
      <c r="AM120" s="129"/>
      <c r="AN120" s="129"/>
      <c r="AO120" s="129"/>
      <c r="AP120" s="129"/>
      <c r="AQ120" s="129"/>
      <c r="AR120" s="129"/>
      <c r="AS120" s="129"/>
      <c r="AT120" s="129"/>
      <c r="AU120" s="129"/>
      <c r="AV120" s="129"/>
      <c r="AW120" s="129"/>
      <c r="AX120" s="129"/>
      <c r="AY120" s="129"/>
      <c r="AZ120" s="129"/>
      <c r="BA120" s="129"/>
      <c r="BB120" s="129"/>
      <c r="BC120" s="129"/>
      <c r="BD120" s="129"/>
      <c r="BE120" s="129"/>
      <c r="BF120" s="129"/>
      <c r="BG120" s="129"/>
      <c r="BH120" s="129"/>
      <c r="BI120" s="129"/>
      <c r="BJ120" s="129"/>
      <c r="BK120" s="129"/>
      <c r="BL120" s="129"/>
      <c r="BM120" s="129"/>
      <c r="BN120" s="129"/>
      <c r="BO120" s="129"/>
      <c r="BP120" s="129"/>
      <c r="BQ120" s="129"/>
      <c r="BR120" s="129"/>
      <c r="BS120" s="129"/>
      <c r="BT120" s="129"/>
      <c r="BU120" s="129"/>
      <c r="BV120" s="129"/>
      <c r="BW120" s="129"/>
      <c r="BX120" s="129"/>
      <c r="BY120" s="129"/>
      <c r="BZ120" s="129"/>
      <c r="CA120" s="129"/>
      <c r="CB120" s="129"/>
      <c r="CC120" s="129"/>
      <c r="CD120" s="129"/>
      <c r="CE120" s="129"/>
      <c r="CF120" s="129"/>
      <c r="CG120" s="129"/>
      <c r="CH120" s="129"/>
      <c r="CI120" s="129"/>
      <c r="CJ120" s="129"/>
      <c r="CK120" s="129"/>
      <c r="CL120" s="129"/>
      <c r="CM120" s="129"/>
      <c r="CN120" s="129"/>
      <c r="CO120" s="129"/>
      <c r="CP120" s="129"/>
      <c r="CQ120" s="129"/>
      <c r="CR120" s="129"/>
      <c r="CS120" s="129"/>
      <c r="CT120" s="129"/>
      <c r="CU120" s="129"/>
    </row>
    <row r="121" spans="2:99" s="120" customFormat="1">
      <c r="B121" s="228"/>
      <c r="C121" s="228"/>
      <c r="D121" s="3"/>
      <c r="E121" s="228"/>
      <c r="F121" s="228"/>
      <c r="G121" s="3"/>
      <c r="H121" s="228"/>
      <c r="I121" s="129"/>
      <c r="J121" s="129"/>
      <c r="K121" s="129"/>
      <c r="L121" s="129"/>
      <c r="M121" s="129"/>
      <c r="N121" s="129"/>
      <c r="O121" s="129"/>
      <c r="P121" s="129"/>
      <c r="Q121" s="129"/>
      <c r="R121" s="129"/>
      <c r="S121" s="129"/>
      <c r="T121" s="129"/>
      <c r="U121" s="129"/>
      <c r="V121" s="129"/>
      <c r="W121" s="129"/>
      <c r="X121" s="129"/>
      <c r="Y121" s="129"/>
      <c r="Z121" s="129"/>
      <c r="AA121" s="129"/>
      <c r="AB121" s="129"/>
      <c r="AC121" s="129"/>
      <c r="AD121" s="129"/>
      <c r="AE121" s="129"/>
      <c r="AF121" s="129"/>
      <c r="AG121" s="129"/>
      <c r="AH121" s="129"/>
      <c r="AI121" s="129"/>
      <c r="AJ121" s="129"/>
      <c r="AK121" s="129"/>
      <c r="AL121" s="129"/>
      <c r="AM121" s="129"/>
      <c r="AN121" s="129"/>
      <c r="AO121" s="129"/>
      <c r="AP121" s="129"/>
      <c r="AQ121" s="129"/>
      <c r="AR121" s="129"/>
      <c r="AS121" s="129"/>
      <c r="AT121" s="129"/>
      <c r="AU121" s="129"/>
      <c r="AV121" s="129"/>
      <c r="AW121" s="129"/>
      <c r="AX121" s="129"/>
      <c r="AY121" s="129"/>
      <c r="AZ121" s="129"/>
      <c r="BA121" s="129"/>
      <c r="BB121" s="129"/>
      <c r="BC121" s="129"/>
      <c r="BD121" s="129"/>
      <c r="BE121" s="129"/>
      <c r="BF121" s="129"/>
      <c r="BG121" s="129"/>
      <c r="BH121" s="129"/>
      <c r="BI121" s="129"/>
      <c r="BJ121" s="129"/>
      <c r="BK121" s="129"/>
      <c r="BL121" s="129"/>
      <c r="BM121" s="129"/>
      <c r="BN121" s="129"/>
      <c r="BO121" s="129"/>
      <c r="BP121" s="129"/>
      <c r="BQ121" s="129"/>
      <c r="BR121" s="129"/>
      <c r="BS121" s="129"/>
      <c r="BT121" s="129"/>
      <c r="BU121" s="129"/>
      <c r="BV121" s="129"/>
      <c r="BW121" s="129"/>
      <c r="BX121" s="129"/>
      <c r="BY121" s="129"/>
      <c r="BZ121" s="129"/>
      <c r="CA121" s="129"/>
      <c r="CB121" s="129"/>
      <c r="CC121" s="129"/>
      <c r="CD121" s="129"/>
      <c r="CE121" s="129"/>
      <c r="CF121" s="129"/>
      <c r="CG121" s="129"/>
      <c r="CH121" s="129"/>
      <c r="CI121" s="129"/>
      <c r="CJ121" s="129"/>
      <c r="CK121" s="129"/>
      <c r="CL121" s="129"/>
      <c r="CM121" s="129"/>
      <c r="CN121" s="129"/>
      <c r="CO121" s="129"/>
      <c r="CP121" s="129"/>
      <c r="CQ121" s="129"/>
      <c r="CR121" s="129"/>
      <c r="CS121" s="129"/>
      <c r="CT121" s="129"/>
      <c r="CU121" s="129"/>
    </row>
    <row r="122" spans="2:99" s="120" customFormat="1">
      <c r="B122" s="228"/>
      <c r="C122" s="228"/>
      <c r="D122" s="3"/>
      <c r="E122" s="228"/>
      <c r="F122" s="228"/>
      <c r="G122" s="3"/>
      <c r="H122" s="228"/>
      <c r="I122" s="129"/>
      <c r="J122" s="129"/>
      <c r="K122" s="129"/>
      <c r="L122" s="129"/>
      <c r="M122" s="129"/>
      <c r="N122" s="129"/>
      <c r="O122" s="129"/>
      <c r="P122" s="129"/>
      <c r="Q122" s="129"/>
      <c r="R122" s="129"/>
      <c r="S122" s="129"/>
      <c r="T122" s="129"/>
      <c r="U122" s="129"/>
      <c r="V122" s="129"/>
      <c r="W122" s="129"/>
      <c r="X122" s="129"/>
      <c r="Y122" s="129"/>
      <c r="Z122" s="129"/>
      <c r="AA122" s="129"/>
      <c r="AB122" s="129"/>
      <c r="AC122" s="129"/>
      <c r="AD122" s="129"/>
      <c r="AE122" s="129"/>
      <c r="AF122" s="129"/>
      <c r="AG122" s="129"/>
      <c r="AH122" s="129"/>
      <c r="AI122" s="129"/>
      <c r="AJ122" s="129"/>
      <c r="AK122" s="129"/>
      <c r="AL122" s="129"/>
      <c r="AM122" s="129"/>
      <c r="AN122" s="129"/>
      <c r="AO122" s="129"/>
      <c r="AP122" s="129"/>
      <c r="AQ122" s="129"/>
      <c r="AR122" s="129"/>
      <c r="AS122" s="129"/>
      <c r="AT122" s="129"/>
      <c r="AU122" s="129"/>
      <c r="AV122" s="129"/>
      <c r="AW122" s="129"/>
      <c r="AX122" s="129"/>
      <c r="AY122" s="129"/>
      <c r="AZ122" s="129"/>
      <c r="BA122" s="129"/>
      <c r="BB122" s="129"/>
      <c r="BC122" s="129"/>
      <c r="BD122" s="129"/>
      <c r="BE122" s="129"/>
      <c r="BF122" s="129"/>
      <c r="BG122" s="129"/>
      <c r="BH122" s="129"/>
      <c r="BI122" s="129"/>
      <c r="BJ122" s="129"/>
      <c r="BK122" s="129"/>
      <c r="BL122" s="129"/>
      <c r="BM122" s="129"/>
      <c r="BN122" s="129"/>
      <c r="BO122" s="129"/>
      <c r="BP122" s="129"/>
      <c r="BQ122" s="129"/>
      <c r="BR122" s="129"/>
      <c r="BS122" s="129"/>
      <c r="BT122" s="129"/>
      <c r="BU122" s="129"/>
      <c r="BV122" s="129"/>
      <c r="BW122" s="129"/>
      <c r="BX122" s="129"/>
      <c r="BY122" s="129"/>
      <c r="BZ122" s="129"/>
      <c r="CA122" s="129"/>
      <c r="CB122" s="129"/>
      <c r="CC122" s="129"/>
      <c r="CD122" s="129"/>
      <c r="CE122" s="129"/>
      <c r="CF122" s="129"/>
      <c r="CG122" s="129"/>
      <c r="CH122" s="129"/>
      <c r="CI122" s="129"/>
      <c r="CJ122" s="129"/>
      <c r="CK122" s="129"/>
      <c r="CL122" s="129"/>
      <c r="CM122" s="129"/>
      <c r="CN122" s="129"/>
      <c r="CO122" s="129"/>
      <c r="CP122" s="129"/>
      <c r="CQ122" s="129"/>
      <c r="CR122" s="129"/>
      <c r="CS122" s="129"/>
      <c r="CT122" s="129"/>
      <c r="CU122" s="129"/>
    </row>
    <row r="123" spans="2:99" s="120" customFormat="1">
      <c r="B123" s="228"/>
      <c r="C123" s="228"/>
      <c r="D123" s="3"/>
      <c r="E123" s="228"/>
      <c r="F123" s="228"/>
      <c r="G123" s="3"/>
      <c r="H123" s="228"/>
      <c r="I123" s="129"/>
      <c r="J123" s="129"/>
      <c r="K123" s="129"/>
      <c r="L123" s="129"/>
      <c r="M123" s="129"/>
      <c r="N123" s="129"/>
      <c r="O123" s="129"/>
      <c r="P123" s="129"/>
      <c r="Q123" s="129"/>
      <c r="R123" s="129"/>
      <c r="S123" s="129"/>
      <c r="T123" s="129"/>
      <c r="U123" s="129"/>
      <c r="V123" s="129"/>
      <c r="W123" s="129"/>
      <c r="X123" s="129"/>
      <c r="Y123" s="129"/>
      <c r="Z123" s="129"/>
      <c r="AA123" s="129"/>
      <c r="AB123" s="129"/>
      <c r="AC123" s="129"/>
      <c r="AD123" s="129"/>
      <c r="AE123" s="129"/>
      <c r="AF123" s="129"/>
      <c r="AG123" s="129"/>
      <c r="AH123" s="129"/>
      <c r="AI123" s="129"/>
      <c r="AJ123" s="129"/>
      <c r="AK123" s="129"/>
      <c r="AL123" s="129"/>
      <c r="AM123" s="129"/>
      <c r="AN123" s="129"/>
      <c r="AO123" s="129"/>
      <c r="AP123" s="129"/>
      <c r="AQ123" s="129"/>
      <c r="AR123" s="129"/>
      <c r="AS123" s="129"/>
      <c r="AT123" s="129"/>
      <c r="AU123" s="129"/>
      <c r="AV123" s="129"/>
      <c r="AW123" s="129"/>
      <c r="AX123" s="129"/>
      <c r="AY123" s="129"/>
      <c r="AZ123" s="129"/>
      <c r="BA123" s="129"/>
      <c r="BB123" s="129"/>
      <c r="BC123" s="129"/>
      <c r="BD123" s="129"/>
      <c r="BE123" s="129"/>
      <c r="BF123" s="129"/>
      <c r="BG123" s="129"/>
      <c r="BH123" s="129"/>
      <c r="BI123" s="129"/>
      <c r="BJ123" s="129"/>
      <c r="BK123" s="129"/>
      <c r="BL123" s="129"/>
      <c r="BM123" s="129"/>
      <c r="BN123" s="129"/>
      <c r="BO123" s="129"/>
      <c r="BP123" s="129"/>
      <c r="BQ123" s="129"/>
      <c r="BR123" s="129"/>
      <c r="BS123" s="129"/>
      <c r="BT123" s="129"/>
      <c r="BU123" s="129"/>
      <c r="BV123" s="129"/>
      <c r="BW123" s="129"/>
      <c r="BX123" s="129"/>
      <c r="BY123" s="129"/>
      <c r="BZ123" s="129"/>
      <c r="CA123" s="129"/>
      <c r="CB123" s="129"/>
      <c r="CC123" s="129"/>
      <c r="CD123" s="129"/>
      <c r="CE123" s="129"/>
      <c r="CF123" s="129"/>
      <c r="CG123" s="129"/>
      <c r="CH123" s="129"/>
      <c r="CI123" s="129"/>
      <c r="CJ123" s="129"/>
      <c r="CK123" s="129"/>
      <c r="CL123" s="129"/>
      <c r="CM123" s="129"/>
      <c r="CN123" s="129"/>
      <c r="CO123" s="129"/>
      <c r="CP123" s="129"/>
      <c r="CQ123" s="129"/>
      <c r="CR123" s="129"/>
      <c r="CS123" s="129"/>
      <c r="CT123" s="129"/>
      <c r="CU123" s="129"/>
    </row>
    <row r="124" spans="2:99" s="120" customFormat="1">
      <c r="B124" s="228"/>
      <c r="C124" s="228"/>
      <c r="D124" s="3"/>
      <c r="E124" s="228"/>
      <c r="F124" s="228"/>
      <c r="G124" s="3"/>
      <c r="H124" s="228"/>
      <c r="I124" s="129"/>
      <c r="J124" s="129"/>
      <c r="K124" s="129"/>
      <c r="L124" s="129"/>
      <c r="M124" s="129"/>
      <c r="N124" s="129"/>
      <c r="O124" s="129"/>
      <c r="P124" s="129"/>
      <c r="Q124" s="129"/>
      <c r="R124" s="129"/>
      <c r="S124" s="129"/>
      <c r="T124" s="129"/>
      <c r="U124" s="129"/>
      <c r="V124" s="129"/>
      <c r="W124" s="129"/>
      <c r="X124" s="129"/>
      <c r="Y124" s="129"/>
      <c r="Z124" s="129"/>
      <c r="AA124" s="129"/>
      <c r="AB124" s="129"/>
      <c r="AC124" s="129"/>
      <c r="AD124" s="129"/>
      <c r="AE124" s="129"/>
      <c r="AF124" s="129"/>
      <c r="AG124" s="129"/>
      <c r="AH124" s="129"/>
      <c r="AI124" s="129"/>
      <c r="AJ124" s="129"/>
      <c r="AK124" s="129"/>
      <c r="AL124" s="129"/>
      <c r="AM124" s="129"/>
      <c r="AN124" s="129"/>
      <c r="AO124" s="129"/>
      <c r="AP124" s="129"/>
      <c r="AQ124" s="129"/>
      <c r="AR124" s="129"/>
      <c r="AS124" s="129"/>
      <c r="AT124" s="129"/>
      <c r="AU124" s="129"/>
      <c r="AV124" s="129"/>
      <c r="AW124" s="129"/>
      <c r="AX124" s="129"/>
      <c r="AY124" s="129"/>
      <c r="AZ124" s="129"/>
      <c r="BA124" s="129"/>
      <c r="BB124" s="129"/>
      <c r="BC124" s="129"/>
      <c r="BD124" s="129"/>
      <c r="BE124" s="129"/>
      <c r="BF124" s="129"/>
      <c r="BG124" s="129"/>
      <c r="BH124" s="129"/>
      <c r="BI124" s="129"/>
      <c r="BJ124" s="129"/>
      <c r="BK124" s="129"/>
      <c r="BL124" s="129"/>
      <c r="BM124" s="129"/>
      <c r="BN124" s="129"/>
      <c r="BO124" s="129"/>
      <c r="BP124" s="129"/>
      <c r="BQ124" s="129"/>
      <c r="BR124" s="129"/>
      <c r="BS124" s="129"/>
      <c r="BT124" s="129"/>
      <c r="BU124" s="129"/>
      <c r="BV124" s="129"/>
      <c r="BW124" s="129"/>
      <c r="BX124" s="129"/>
      <c r="BY124" s="129"/>
      <c r="BZ124" s="129"/>
      <c r="CA124" s="129"/>
      <c r="CB124" s="129"/>
      <c r="CC124" s="129"/>
      <c r="CD124" s="129"/>
      <c r="CE124" s="129"/>
      <c r="CF124" s="129"/>
      <c r="CG124" s="129"/>
      <c r="CH124" s="129"/>
      <c r="CI124" s="129"/>
      <c r="CJ124" s="129"/>
      <c r="CK124" s="129"/>
      <c r="CL124" s="129"/>
      <c r="CM124" s="129"/>
      <c r="CN124" s="129"/>
      <c r="CO124" s="129"/>
      <c r="CP124" s="129"/>
      <c r="CQ124" s="129"/>
      <c r="CR124" s="129"/>
      <c r="CS124" s="129"/>
      <c r="CT124" s="129"/>
      <c r="CU124" s="129"/>
    </row>
    <row r="125" spans="2:99" s="120" customFormat="1">
      <c r="B125" s="228"/>
      <c r="C125" s="228"/>
      <c r="D125" s="3"/>
      <c r="E125" s="228"/>
      <c r="F125" s="228"/>
      <c r="G125" s="3"/>
      <c r="H125" s="228"/>
      <c r="I125" s="129"/>
      <c r="J125" s="129"/>
      <c r="K125" s="129"/>
      <c r="L125" s="129"/>
      <c r="M125" s="129"/>
      <c r="N125" s="129"/>
      <c r="O125" s="129"/>
      <c r="P125" s="129"/>
      <c r="Q125" s="129"/>
      <c r="R125" s="129"/>
      <c r="S125" s="129"/>
      <c r="T125" s="129"/>
      <c r="U125" s="129"/>
      <c r="V125" s="129"/>
      <c r="W125" s="129"/>
      <c r="X125" s="129"/>
      <c r="Y125" s="129"/>
      <c r="Z125" s="129"/>
      <c r="AA125" s="129"/>
      <c r="AB125" s="129"/>
      <c r="AC125" s="129"/>
      <c r="AD125" s="129"/>
      <c r="AE125" s="129"/>
      <c r="AF125" s="129"/>
      <c r="AG125" s="129"/>
      <c r="AH125" s="129"/>
      <c r="AI125" s="129"/>
      <c r="AJ125" s="129"/>
      <c r="AK125" s="129"/>
      <c r="AL125" s="129"/>
      <c r="AM125" s="129"/>
      <c r="AN125" s="129"/>
      <c r="AO125" s="129"/>
      <c r="AP125" s="129"/>
      <c r="AQ125" s="129"/>
      <c r="AR125" s="129"/>
      <c r="AS125" s="129"/>
      <c r="AT125" s="129"/>
      <c r="AU125" s="129"/>
      <c r="AV125" s="129"/>
      <c r="AW125" s="129"/>
      <c r="AX125" s="129"/>
      <c r="AY125" s="129"/>
      <c r="AZ125" s="129"/>
      <c r="BA125" s="129"/>
      <c r="BB125" s="129"/>
      <c r="BC125" s="129"/>
      <c r="BD125" s="129"/>
      <c r="BE125" s="129"/>
      <c r="BF125" s="129"/>
      <c r="BG125" s="129"/>
      <c r="BH125" s="129"/>
      <c r="BI125" s="129"/>
      <c r="BJ125" s="129"/>
      <c r="BK125" s="129"/>
      <c r="BL125" s="129"/>
      <c r="BM125" s="129"/>
      <c r="BN125" s="129"/>
      <c r="BO125" s="129"/>
      <c r="BP125" s="129"/>
      <c r="BQ125" s="129"/>
      <c r="BR125" s="129"/>
      <c r="BS125" s="129"/>
      <c r="BT125" s="129"/>
      <c r="BU125" s="129"/>
      <c r="BV125" s="129"/>
      <c r="BW125" s="129"/>
      <c r="BX125" s="129"/>
      <c r="BY125" s="129"/>
      <c r="BZ125" s="129"/>
      <c r="CA125" s="129"/>
      <c r="CB125" s="129"/>
      <c r="CC125" s="129"/>
      <c r="CD125" s="129"/>
      <c r="CE125" s="129"/>
      <c r="CF125" s="129"/>
      <c r="CG125" s="129"/>
      <c r="CH125" s="129"/>
      <c r="CI125" s="129"/>
      <c r="CJ125" s="129"/>
      <c r="CK125" s="129"/>
      <c r="CL125" s="129"/>
      <c r="CM125" s="129"/>
      <c r="CN125" s="129"/>
      <c r="CO125" s="129"/>
      <c r="CP125" s="129"/>
      <c r="CQ125" s="129"/>
      <c r="CR125" s="129"/>
      <c r="CS125" s="129"/>
      <c r="CT125" s="129"/>
      <c r="CU125" s="129"/>
    </row>
    <row r="126" spans="2:99" s="120" customFormat="1">
      <c r="B126" s="228"/>
      <c r="C126" s="228"/>
      <c r="D126" s="3"/>
      <c r="E126" s="228"/>
      <c r="F126" s="228"/>
      <c r="G126" s="3"/>
      <c r="H126" s="228"/>
      <c r="I126" s="129"/>
      <c r="J126" s="129"/>
      <c r="K126" s="129"/>
      <c r="L126" s="129"/>
      <c r="M126" s="129"/>
      <c r="N126" s="129"/>
      <c r="O126" s="129"/>
      <c r="P126" s="129"/>
      <c r="Q126" s="129"/>
      <c r="R126" s="129"/>
      <c r="S126" s="129"/>
      <c r="T126" s="129"/>
      <c r="U126" s="129"/>
      <c r="V126" s="129"/>
      <c r="W126" s="129"/>
      <c r="X126" s="129"/>
      <c r="Y126" s="129"/>
      <c r="Z126" s="129"/>
      <c r="AA126" s="129"/>
      <c r="AB126" s="129"/>
      <c r="AC126" s="129"/>
      <c r="AD126" s="129"/>
      <c r="AE126" s="129"/>
      <c r="AF126" s="129"/>
      <c r="AG126" s="129"/>
      <c r="AH126" s="129"/>
      <c r="AI126" s="129"/>
      <c r="AJ126" s="129"/>
      <c r="AK126" s="129"/>
      <c r="AL126" s="129"/>
      <c r="AM126" s="129"/>
      <c r="AN126" s="129"/>
      <c r="AO126" s="129"/>
      <c r="AP126" s="129"/>
      <c r="AQ126" s="129"/>
      <c r="AR126" s="129"/>
      <c r="AS126" s="129"/>
      <c r="AT126" s="129"/>
      <c r="AU126" s="129"/>
      <c r="AV126" s="129"/>
      <c r="AW126" s="129"/>
      <c r="AX126" s="129"/>
      <c r="AY126" s="129"/>
      <c r="AZ126" s="129"/>
      <c r="BA126" s="129"/>
      <c r="BB126" s="129"/>
      <c r="BC126" s="129"/>
      <c r="BD126" s="129"/>
      <c r="BE126" s="129"/>
      <c r="BF126" s="129"/>
      <c r="BG126" s="129"/>
      <c r="BH126" s="129"/>
      <c r="BI126" s="129"/>
      <c r="BJ126" s="129"/>
      <c r="BK126" s="129"/>
      <c r="BL126" s="129"/>
      <c r="BM126" s="129"/>
      <c r="BN126" s="129"/>
      <c r="BO126" s="129"/>
      <c r="BP126" s="129"/>
      <c r="BQ126" s="129"/>
      <c r="BR126" s="129"/>
      <c r="BS126" s="129"/>
      <c r="BT126" s="129"/>
      <c r="BU126" s="129"/>
      <c r="BV126" s="129"/>
      <c r="BW126" s="129"/>
      <c r="BX126" s="129"/>
      <c r="BY126" s="129"/>
      <c r="BZ126" s="129"/>
      <c r="CA126" s="129"/>
      <c r="CB126" s="129"/>
      <c r="CC126" s="129"/>
      <c r="CD126" s="129"/>
      <c r="CE126" s="129"/>
      <c r="CF126" s="129"/>
      <c r="CG126" s="129"/>
      <c r="CH126" s="129"/>
      <c r="CI126" s="129"/>
      <c r="CJ126" s="129"/>
      <c r="CK126" s="129"/>
      <c r="CL126" s="129"/>
      <c r="CM126" s="129"/>
      <c r="CN126" s="129"/>
      <c r="CO126" s="129"/>
      <c r="CP126" s="129"/>
      <c r="CQ126" s="129"/>
      <c r="CR126" s="129"/>
      <c r="CS126" s="129"/>
      <c r="CT126" s="129"/>
      <c r="CU126" s="129"/>
    </row>
    <row r="127" spans="2:99" s="120" customFormat="1">
      <c r="B127" s="228"/>
      <c r="C127" s="228"/>
      <c r="D127" s="3"/>
      <c r="E127" s="228"/>
      <c r="F127" s="228"/>
      <c r="G127" s="3"/>
      <c r="H127" s="228"/>
      <c r="I127" s="129"/>
      <c r="J127" s="129"/>
      <c r="K127" s="129"/>
      <c r="L127" s="129"/>
      <c r="M127" s="129"/>
      <c r="N127" s="129"/>
      <c r="O127" s="129"/>
      <c r="P127" s="129"/>
      <c r="Q127" s="129"/>
      <c r="R127" s="129"/>
      <c r="S127" s="129"/>
      <c r="T127" s="129"/>
      <c r="U127" s="129"/>
      <c r="V127" s="129"/>
      <c r="W127" s="129"/>
      <c r="X127" s="129"/>
      <c r="Y127" s="129"/>
      <c r="Z127" s="129"/>
      <c r="AA127" s="129"/>
      <c r="AB127" s="129"/>
      <c r="AC127" s="129"/>
      <c r="AD127" s="129"/>
      <c r="AE127" s="129"/>
      <c r="AF127" s="129"/>
      <c r="AG127" s="129"/>
      <c r="AH127" s="129"/>
      <c r="AI127" s="129"/>
      <c r="AJ127" s="129"/>
      <c r="AK127" s="129"/>
      <c r="AL127" s="129"/>
      <c r="AM127" s="129"/>
      <c r="AN127" s="129"/>
      <c r="AO127" s="129"/>
      <c r="AP127" s="129"/>
      <c r="AQ127" s="129"/>
      <c r="AR127" s="129"/>
      <c r="AS127" s="129"/>
      <c r="AT127" s="129"/>
      <c r="AU127" s="129"/>
      <c r="AV127" s="129"/>
      <c r="AW127" s="129"/>
      <c r="AX127" s="129"/>
      <c r="AY127" s="129"/>
      <c r="AZ127" s="129"/>
      <c r="BA127" s="129"/>
      <c r="BB127" s="129"/>
      <c r="BC127" s="129"/>
      <c r="BD127" s="129"/>
      <c r="BE127" s="129"/>
      <c r="BF127" s="129"/>
      <c r="BG127" s="129"/>
      <c r="BH127" s="129"/>
      <c r="BI127" s="129"/>
      <c r="BJ127" s="129"/>
      <c r="BK127" s="129"/>
      <c r="BL127" s="129"/>
      <c r="BM127" s="129"/>
      <c r="BN127" s="129"/>
      <c r="BO127" s="129"/>
      <c r="BP127" s="129"/>
      <c r="BQ127" s="129"/>
      <c r="BR127" s="129"/>
      <c r="BS127" s="129"/>
      <c r="BT127" s="129"/>
      <c r="BU127" s="129"/>
      <c r="BV127" s="129"/>
      <c r="BW127" s="129"/>
      <c r="BX127" s="129"/>
      <c r="BY127" s="129"/>
      <c r="BZ127" s="129"/>
      <c r="CA127" s="129"/>
      <c r="CB127" s="129"/>
      <c r="CC127" s="129"/>
      <c r="CD127" s="129"/>
      <c r="CE127" s="129"/>
      <c r="CF127" s="129"/>
      <c r="CG127" s="129"/>
      <c r="CH127" s="129"/>
      <c r="CI127" s="129"/>
      <c r="CJ127" s="129"/>
      <c r="CK127" s="129"/>
      <c r="CL127" s="129"/>
      <c r="CM127" s="129"/>
      <c r="CN127" s="129"/>
      <c r="CO127" s="129"/>
      <c r="CP127" s="129"/>
      <c r="CQ127" s="129"/>
      <c r="CR127" s="129"/>
      <c r="CS127" s="129"/>
      <c r="CT127" s="129"/>
      <c r="CU127" s="129"/>
    </row>
    <row r="128" spans="2:99" s="120" customFormat="1">
      <c r="B128" s="228"/>
      <c r="C128" s="228"/>
      <c r="D128" s="3"/>
      <c r="E128" s="228"/>
      <c r="F128" s="228"/>
      <c r="G128" s="3"/>
      <c r="H128" s="228"/>
      <c r="I128" s="129"/>
      <c r="J128" s="129"/>
      <c r="K128" s="129"/>
      <c r="L128" s="129"/>
      <c r="M128" s="129"/>
      <c r="N128" s="129"/>
      <c r="O128" s="129"/>
      <c r="P128" s="129"/>
      <c r="Q128" s="129"/>
      <c r="R128" s="129"/>
      <c r="S128" s="129"/>
      <c r="T128" s="129"/>
      <c r="U128" s="129"/>
      <c r="V128" s="129"/>
      <c r="W128" s="129"/>
      <c r="X128" s="129"/>
      <c r="Y128" s="129"/>
      <c r="Z128" s="129"/>
      <c r="AA128" s="129"/>
      <c r="AB128" s="129"/>
      <c r="AC128" s="129"/>
      <c r="AD128" s="129"/>
      <c r="AE128" s="129"/>
      <c r="AF128" s="129"/>
      <c r="AG128" s="129"/>
      <c r="AH128" s="129"/>
      <c r="AI128" s="129"/>
      <c r="AJ128" s="129"/>
      <c r="AK128" s="129"/>
      <c r="AL128" s="129"/>
      <c r="AM128" s="129"/>
      <c r="AN128" s="129"/>
      <c r="AO128" s="129"/>
      <c r="AP128" s="129"/>
      <c r="AQ128" s="129"/>
      <c r="AR128" s="129"/>
      <c r="AS128" s="129"/>
      <c r="AT128" s="129"/>
      <c r="AU128" s="129"/>
      <c r="AV128" s="129"/>
      <c r="AW128" s="129"/>
      <c r="AX128" s="129"/>
      <c r="AY128" s="129"/>
      <c r="AZ128" s="129"/>
      <c r="BA128" s="129"/>
      <c r="BB128" s="129"/>
      <c r="BC128" s="129"/>
      <c r="BD128" s="129"/>
      <c r="BE128" s="129"/>
      <c r="BF128" s="129"/>
      <c r="BG128" s="129"/>
      <c r="BH128" s="129"/>
      <c r="BI128" s="129"/>
      <c r="BJ128" s="129"/>
      <c r="BK128" s="129"/>
      <c r="BL128" s="129"/>
      <c r="BM128" s="129"/>
      <c r="BN128" s="129"/>
      <c r="BO128" s="129"/>
      <c r="BP128" s="129"/>
      <c r="BQ128" s="129"/>
      <c r="BR128" s="129"/>
      <c r="BS128" s="129"/>
      <c r="BT128" s="129"/>
      <c r="BU128" s="129"/>
      <c r="BV128" s="129"/>
      <c r="BW128" s="129"/>
      <c r="BX128" s="129"/>
      <c r="BY128" s="129"/>
      <c r="BZ128" s="129"/>
      <c r="CA128" s="129"/>
      <c r="CB128" s="129"/>
      <c r="CC128" s="129"/>
      <c r="CD128" s="129"/>
      <c r="CE128" s="129"/>
      <c r="CF128" s="129"/>
      <c r="CG128" s="129"/>
      <c r="CH128" s="129"/>
      <c r="CI128" s="129"/>
      <c r="CJ128" s="129"/>
      <c r="CK128" s="129"/>
      <c r="CL128" s="129"/>
      <c r="CM128" s="129"/>
      <c r="CN128" s="129"/>
      <c r="CO128" s="129"/>
      <c r="CP128" s="129"/>
      <c r="CQ128" s="129"/>
      <c r="CR128" s="129"/>
      <c r="CS128" s="129"/>
      <c r="CT128" s="129"/>
      <c r="CU128" s="129"/>
    </row>
    <row r="129" spans="2:99" s="120" customFormat="1">
      <c r="B129" s="228"/>
      <c r="C129" s="228"/>
      <c r="D129" s="3"/>
      <c r="E129" s="228"/>
      <c r="F129" s="228"/>
      <c r="G129" s="3"/>
      <c r="H129" s="228"/>
      <c r="I129" s="129"/>
      <c r="J129" s="129"/>
      <c r="K129" s="129"/>
      <c r="L129" s="129"/>
      <c r="M129" s="129"/>
      <c r="N129" s="129"/>
      <c r="O129" s="129"/>
      <c r="P129" s="129"/>
      <c r="Q129" s="129"/>
      <c r="R129" s="129"/>
      <c r="S129" s="129"/>
      <c r="T129" s="129"/>
      <c r="U129" s="129"/>
      <c r="V129" s="129"/>
      <c r="W129" s="129"/>
      <c r="X129" s="129"/>
      <c r="Y129" s="129"/>
      <c r="Z129" s="129"/>
      <c r="AA129" s="129"/>
      <c r="AB129" s="129"/>
      <c r="AC129" s="129"/>
      <c r="AD129" s="129"/>
      <c r="AE129" s="129"/>
      <c r="AF129" s="129"/>
      <c r="AG129" s="129"/>
      <c r="AH129" s="129"/>
      <c r="AI129" s="129"/>
      <c r="AJ129" s="129"/>
      <c r="AK129" s="129"/>
      <c r="AL129" s="129"/>
      <c r="AM129" s="129"/>
      <c r="AN129" s="129"/>
      <c r="AO129" s="129"/>
      <c r="AP129" s="129"/>
      <c r="AQ129" s="129"/>
      <c r="AR129" s="129"/>
      <c r="AS129" s="129"/>
      <c r="AT129" s="129"/>
      <c r="AU129" s="129"/>
      <c r="AV129" s="129"/>
      <c r="AW129" s="129"/>
      <c r="AX129" s="129"/>
      <c r="AY129" s="129"/>
      <c r="AZ129" s="129"/>
      <c r="BA129" s="129"/>
      <c r="BB129" s="129"/>
      <c r="BC129" s="129"/>
      <c r="BD129" s="129"/>
      <c r="BE129" s="129"/>
      <c r="BF129" s="129"/>
      <c r="BG129" s="129"/>
      <c r="BH129" s="129"/>
      <c r="BI129" s="129"/>
      <c r="BJ129" s="129"/>
      <c r="BK129" s="129"/>
      <c r="BL129" s="129"/>
      <c r="BM129" s="129"/>
      <c r="BN129" s="129"/>
      <c r="BO129" s="129"/>
      <c r="BP129" s="129"/>
      <c r="BQ129" s="129"/>
      <c r="BR129" s="129"/>
      <c r="BS129" s="129"/>
      <c r="BT129" s="129"/>
      <c r="BU129" s="129"/>
      <c r="BV129" s="129"/>
      <c r="BW129" s="129"/>
      <c r="BX129" s="129"/>
      <c r="BY129" s="129"/>
      <c r="BZ129" s="129"/>
      <c r="CA129" s="129"/>
      <c r="CB129" s="129"/>
      <c r="CC129" s="129"/>
      <c r="CD129" s="129"/>
      <c r="CE129" s="129"/>
      <c r="CF129" s="129"/>
      <c r="CG129" s="129"/>
      <c r="CH129" s="129"/>
      <c r="CI129" s="129"/>
      <c r="CJ129" s="129"/>
      <c r="CK129" s="129"/>
      <c r="CL129" s="129"/>
      <c r="CM129" s="129"/>
      <c r="CN129" s="129"/>
      <c r="CO129" s="129"/>
      <c r="CP129" s="129"/>
      <c r="CQ129" s="129"/>
      <c r="CR129" s="129"/>
      <c r="CS129" s="129"/>
      <c r="CT129" s="129"/>
      <c r="CU129" s="129"/>
    </row>
    <row r="130" spans="2:99" s="120" customFormat="1">
      <c r="B130" s="228"/>
      <c r="C130" s="228"/>
      <c r="D130" s="3"/>
      <c r="E130" s="228"/>
      <c r="F130" s="228"/>
      <c r="G130" s="3"/>
      <c r="H130" s="228"/>
      <c r="I130" s="129"/>
      <c r="J130" s="129"/>
      <c r="K130" s="129"/>
      <c r="L130" s="129"/>
      <c r="M130" s="129"/>
      <c r="N130" s="129"/>
      <c r="O130" s="129"/>
      <c r="P130" s="129"/>
      <c r="Q130" s="129"/>
      <c r="R130" s="129"/>
      <c r="S130" s="129"/>
      <c r="T130" s="129"/>
      <c r="U130" s="129"/>
      <c r="V130" s="129"/>
      <c r="W130" s="129"/>
      <c r="X130" s="129"/>
      <c r="Y130" s="129"/>
      <c r="Z130" s="129"/>
      <c r="AA130" s="129"/>
      <c r="AB130" s="129"/>
      <c r="AC130" s="129"/>
      <c r="AD130" s="129"/>
      <c r="AE130" s="129"/>
      <c r="AF130" s="129"/>
      <c r="AG130" s="129"/>
      <c r="AH130" s="129"/>
      <c r="AI130" s="129"/>
      <c r="AJ130" s="129"/>
      <c r="AK130" s="129"/>
      <c r="AL130" s="129"/>
      <c r="AM130" s="129"/>
      <c r="AN130" s="129"/>
      <c r="AO130" s="129"/>
      <c r="AP130" s="129"/>
      <c r="AQ130" s="129"/>
      <c r="AR130" s="129"/>
      <c r="AS130" s="129"/>
      <c r="AT130" s="129"/>
      <c r="AU130" s="129"/>
      <c r="AV130" s="129"/>
      <c r="AW130" s="129"/>
      <c r="AX130" s="129"/>
      <c r="AY130" s="129"/>
      <c r="AZ130" s="129"/>
      <c r="BA130" s="129"/>
      <c r="BB130" s="129"/>
      <c r="BC130" s="129"/>
      <c r="BD130" s="129"/>
      <c r="BE130" s="129"/>
      <c r="BF130" s="129"/>
      <c r="BG130" s="129"/>
      <c r="BH130" s="129"/>
      <c r="BI130" s="129"/>
      <c r="BJ130" s="129"/>
      <c r="BK130" s="129"/>
      <c r="BL130" s="129"/>
      <c r="BM130" s="129"/>
      <c r="BN130" s="129"/>
      <c r="BO130" s="129"/>
      <c r="BP130" s="129"/>
      <c r="BQ130" s="129"/>
      <c r="BR130" s="129"/>
      <c r="BS130" s="129"/>
      <c r="BT130" s="129"/>
      <c r="BU130" s="129"/>
      <c r="BV130" s="129"/>
      <c r="BW130" s="129"/>
      <c r="BX130" s="129"/>
      <c r="BY130" s="129"/>
      <c r="BZ130" s="129"/>
      <c r="CA130" s="129"/>
      <c r="CB130" s="129"/>
      <c r="CC130" s="129"/>
      <c r="CD130" s="129"/>
      <c r="CE130" s="129"/>
      <c r="CF130" s="129"/>
      <c r="CG130" s="129"/>
      <c r="CH130" s="129"/>
      <c r="CI130" s="129"/>
      <c r="CJ130" s="129"/>
      <c r="CK130" s="129"/>
      <c r="CL130" s="129"/>
      <c r="CM130" s="129"/>
      <c r="CN130" s="129"/>
      <c r="CO130" s="129"/>
      <c r="CP130" s="129"/>
      <c r="CQ130" s="129"/>
      <c r="CR130" s="129"/>
      <c r="CS130" s="129"/>
      <c r="CT130" s="129"/>
      <c r="CU130" s="129"/>
    </row>
    <row r="131" spans="2:99" s="120" customFormat="1">
      <c r="B131" s="228"/>
      <c r="C131" s="228"/>
      <c r="D131" s="3"/>
      <c r="E131" s="228"/>
      <c r="F131" s="228"/>
      <c r="G131" s="3"/>
      <c r="H131" s="228"/>
      <c r="I131" s="129"/>
      <c r="J131" s="129"/>
      <c r="K131" s="129"/>
      <c r="L131" s="129"/>
      <c r="M131" s="129"/>
      <c r="N131" s="129"/>
      <c r="O131" s="129"/>
      <c r="P131" s="129"/>
      <c r="Q131" s="129"/>
      <c r="R131" s="129"/>
      <c r="S131" s="129"/>
      <c r="T131" s="129"/>
      <c r="U131" s="129"/>
      <c r="V131" s="129"/>
      <c r="W131" s="129"/>
      <c r="X131" s="129"/>
      <c r="Y131" s="129"/>
      <c r="Z131" s="129"/>
      <c r="AA131" s="129"/>
      <c r="AB131" s="129"/>
      <c r="AC131" s="129"/>
      <c r="AD131" s="129"/>
      <c r="AE131" s="129"/>
      <c r="AF131" s="129"/>
      <c r="AG131" s="129"/>
      <c r="AH131" s="129"/>
      <c r="AI131" s="129"/>
      <c r="AJ131" s="129"/>
      <c r="AK131" s="129"/>
      <c r="AL131" s="129"/>
      <c r="AM131" s="129"/>
      <c r="AN131" s="129"/>
      <c r="AO131" s="129"/>
      <c r="AP131" s="129"/>
      <c r="AQ131" s="129"/>
      <c r="AR131" s="129"/>
      <c r="AS131" s="129"/>
      <c r="AT131" s="129"/>
      <c r="AU131" s="129"/>
      <c r="AV131" s="129"/>
      <c r="AW131" s="129"/>
      <c r="AX131" s="129"/>
      <c r="AY131" s="129"/>
      <c r="AZ131" s="129"/>
      <c r="BA131" s="129"/>
      <c r="BB131" s="129"/>
      <c r="BC131" s="129"/>
      <c r="BD131" s="129"/>
      <c r="BE131" s="129"/>
      <c r="BF131" s="129"/>
      <c r="BG131" s="129"/>
      <c r="BH131" s="129"/>
      <c r="BI131" s="129"/>
      <c r="BJ131" s="129"/>
      <c r="BK131" s="129"/>
      <c r="BL131" s="129"/>
      <c r="BM131" s="129"/>
      <c r="BN131" s="129"/>
      <c r="BO131" s="129"/>
      <c r="BP131" s="129"/>
      <c r="BQ131" s="129"/>
      <c r="BR131" s="129"/>
      <c r="BS131" s="129"/>
      <c r="BT131" s="129"/>
      <c r="BU131" s="129"/>
      <c r="BV131" s="129"/>
      <c r="BW131" s="129"/>
      <c r="BX131" s="129"/>
      <c r="BY131" s="129"/>
      <c r="BZ131" s="129"/>
      <c r="CA131" s="129"/>
      <c r="CB131" s="129"/>
      <c r="CC131" s="129"/>
      <c r="CD131" s="129"/>
      <c r="CE131" s="129"/>
      <c r="CF131" s="129"/>
      <c r="CG131" s="129"/>
      <c r="CH131" s="129"/>
      <c r="CI131" s="129"/>
      <c r="CJ131" s="129"/>
      <c r="CK131" s="129"/>
      <c r="CL131" s="129"/>
      <c r="CM131" s="129"/>
      <c r="CN131" s="129"/>
      <c r="CO131" s="129"/>
      <c r="CP131" s="129"/>
      <c r="CQ131" s="129"/>
      <c r="CR131" s="129"/>
      <c r="CS131" s="129"/>
      <c r="CT131" s="129"/>
      <c r="CU131" s="129"/>
    </row>
    <row r="132" spans="2:99" s="120" customFormat="1">
      <c r="B132" s="228"/>
      <c r="C132" s="228"/>
      <c r="D132" s="3"/>
      <c r="E132" s="228"/>
      <c r="F132" s="228"/>
      <c r="G132" s="3"/>
      <c r="H132" s="228"/>
      <c r="I132" s="129"/>
      <c r="J132" s="129"/>
      <c r="K132" s="129"/>
      <c r="L132" s="129"/>
      <c r="M132" s="129"/>
      <c r="N132" s="129"/>
      <c r="O132" s="129"/>
      <c r="P132" s="129"/>
      <c r="Q132" s="129"/>
      <c r="R132" s="129"/>
      <c r="S132" s="129"/>
      <c r="T132" s="129"/>
      <c r="U132" s="129"/>
      <c r="V132" s="129"/>
      <c r="W132" s="129"/>
      <c r="X132" s="129"/>
      <c r="Y132" s="129"/>
      <c r="Z132" s="129"/>
      <c r="AA132" s="129"/>
      <c r="AB132" s="129"/>
      <c r="AC132" s="129"/>
      <c r="AD132" s="129"/>
      <c r="AE132" s="129"/>
      <c r="AF132" s="129"/>
      <c r="AG132" s="129"/>
      <c r="AH132" s="129"/>
      <c r="AI132" s="129"/>
      <c r="AJ132" s="129"/>
      <c r="AK132" s="129"/>
      <c r="AL132" s="129"/>
      <c r="AM132" s="129"/>
      <c r="AN132" s="129"/>
      <c r="AO132" s="129"/>
      <c r="AP132" s="129"/>
      <c r="AQ132" s="129"/>
      <c r="AR132" s="129"/>
      <c r="AS132" s="129"/>
      <c r="AT132" s="129"/>
      <c r="AU132" s="129"/>
      <c r="AV132" s="129"/>
      <c r="AW132" s="129"/>
      <c r="AX132" s="129"/>
      <c r="AY132" s="129"/>
      <c r="AZ132" s="129"/>
      <c r="BA132" s="129"/>
      <c r="BB132" s="129"/>
      <c r="BC132" s="129"/>
      <c r="BD132" s="129"/>
      <c r="BE132" s="129"/>
      <c r="BF132" s="129"/>
      <c r="BG132" s="129"/>
      <c r="BH132" s="129"/>
      <c r="BI132" s="129"/>
      <c r="BJ132" s="129"/>
      <c r="BK132" s="129"/>
      <c r="BL132" s="129"/>
      <c r="BM132" s="129"/>
      <c r="BN132" s="129"/>
      <c r="BO132" s="129"/>
      <c r="BP132" s="129"/>
      <c r="BQ132" s="129"/>
      <c r="BR132" s="129"/>
      <c r="BS132" s="129"/>
      <c r="BT132" s="129"/>
      <c r="BU132" s="129"/>
      <c r="BV132" s="129"/>
      <c r="BW132" s="129"/>
      <c r="BX132" s="129"/>
      <c r="BY132" s="129"/>
      <c r="BZ132" s="129"/>
      <c r="CA132" s="129"/>
      <c r="CB132" s="129"/>
      <c r="CC132" s="129"/>
      <c r="CD132" s="129"/>
      <c r="CE132" s="129"/>
      <c r="CF132" s="129"/>
      <c r="CG132" s="129"/>
      <c r="CH132" s="129"/>
      <c r="CI132" s="129"/>
      <c r="CJ132" s="129"/>
      <c r="CK132" s="129"/>
      <c r="CL132" s="129"/>
      <c r="CM132" s="129"/>
      <c r="CN132" s="129"/>
      <c r="CO132" s="129"/>
      <c r="CP132" s="129"/>
      <c r="CQ132" s="129"/>
      <c r="CR132" s="129"/>
      <c r="CS132" s="129"/>
      <c r="CT132" s="129"/>
      <c r="CU132" s="129"/>
    </row>
    <row r="133" spans="2:99" s="120" customFormat="1">
      <c r="B133" s="228"/>
      <c r="C133" s="228"/>
      <c r="D133" s="3"/>
      <c r="E133" s="228"/>
      <c r="F133" s="228"/>
      <c r="G133" s="3"/>
      <c r="H133" s="228"/>
      <c r="I133" s="129"/>
      <c r="J133" s="129"/>
      <c r="K133" s="129"/>
      <c r="L133" s="129"/>
      <c r="M133" s="129"/>
      <c r="N133" s="129"/>
      <c r="O133" s="129"/>
      <c r="P133" s="129"/>
      <c r="Q133" s="129"/>
      <c r="R133" s="129"/>
      <c r="S133" s="129"/>
      <c r="T133" s="129"/>
      <c r="U133" s="129"/>
      <c r="V133" s="129"/>
      <c r="W133" s="129"/>
      <c r="X133" s="129"/>
      <c r="Y133" s="129"/>
      <c r="Z133" s="129"/>
      <c r="AA133" s="129"/>
      <c r="AB133" s="129"/>
      <c r="AC133" s="129"/>
      <c r="AD133" s="129"/>
      <c r="AE133" s="129"/>
      <c r="AF133" s="129"/>
      <c r="AG133" s="129"/>
      <c r="AH133" s="129"/>
      <c r="AI133" s="129"/>
      <c r="AJ133" s="129"/>
      <c r="AK133" s="129"/>
      <c r="AL133" s="129"/>
      <c r="AM133" s="129"/>
      <c r="AN133" s="129"/>
      <c r="AO133" s="129"/>
      <c r="AP133" s="129"/>
      <c r="AQ133" s="129"/>
      <c r="AR133" s="129"/>
      <c r="AS133" s="129"/>
      <c r="AT133" s="129"/>
      <c r="AU133" s="129"/>
      <c r="AV133" s="129"/>
      <c r="AW133" s="129"/>
      <c r="AX133" s="129"/>
      <c r="AY133" s="129"/>
      <c r="AZ133" s="129"/>
      <c r="BA133" s="129"/>
      <c r="BB133" s="129"/>
      <c r="BC133" s="129"/>
      <c r="BD133" s="129"/>
      <c r="BE133" s="129"/>
      <c r="BF133" s="129"/>
      <c r="BG133" s="129"/>
      <c r="BH133" s="129"/>
      <c r="BI133" s="129"/>
      <c r="BJ133" s="129"/>
      <c r="BK133" s="129"/>
      <c r="BL133" s="129"/>
      <c r="BM133" s="129"/>
      <c r="BN133" s="129"/>
      <c r="BO133" s="129"/>
      <c r="BP133" s="129"/>
      <c r="BQ133" s="129"/>
      <c r="BR133" s="129"/>
      <c r="BS133" s="129"/>
      <c r="BT133" s="129"/>
      <c r="BU133" s="129"/>
      <c r="BV133" s="129"/>
      <c r="BW133" s="129"/>
      <c r="BX133" s="129"/>
      <c r="BY133" s="129"/>
      <c r="BZ133" s="129"/>
      <c r="CA133" s="129"/>
      <c r="CB133" s="129"/>
      <c r="CC133" s="129"/>
      <c r="CD133" s="129"/>
      <c r="CE133" s="129"/>
      <c r="CF133" s="129"/>
      <c r="CG133" s="129"/>
      <c r="CH133" s="129"/>
      <c r="CI133" s="129"/>
      <c r="CJ133" s="129"/>
      <c r="CK133" s="129"/>
      <c r="CL133" s="129"/>
      <c r="CM133" s="129"/>
      <c r="CN133" s="129"/>
      <c r="CO133" s="129"/>
      <c r="CP133" s="129"/>
      <c r="CQ133" s="129"/>
      <c r="CR133" s="129"/>
      <c r="CS133" s="129"/>
      <c r="CT133" s="129"/>
      <c r="CU133" s="129"/>
    </row>
    <row r="134" spans="2:99" s="120" customFormat="1">
      <c r="B134" s="228"/>
      <c r="C134" s="228"/>
      <c r="D134" s="3"/>
      <c r="E134" s="228"/>
      <c r="F134" s="228"/>
      <c r="G134" s="3"/>
      <c r="H134" s="228"/>
      <c r="I134" s="129"/>
      <c r="J134" s="129"/>
      <c r="K134" s="129"/>
      <c r="L134" s="129"/>
      <c r="M134" s="129"/>
      <c r="N134" s="129"/>
      <c r="O134" s="129"/>
      <c r="P134" s="129"/>
      <c r="Q134" s="129"/>
      <c r="R134" s="129"/>
      <c r="S134" s="129"/>
      <c r="T134" s="129"/>
      <c r="U134" s="129"/>
      <c r="V134" s="129"/>
      <c r="W134" s="129"/>
      <c r="X134" s="129"/>
      <c r="Y134" s="129"/>
      <c r="Z134" s="129"/>
      <c r="AA134" s="129"/>
      <c r="AB134" s="129"/>
      <c r="AC134" s="129"/>
      <c r="AD134" s="129"/>
      <c r="AE134" s="129"/>
      <c r="AF134" s="129"/>
      <c r="AG134" s="129"/>
      <c r="AH134" s="129"/>
      <c r="AI134" s="129"/>
      <c r="AJ134" s="129"/>
      <c r="AK134" s="129"/>
      <c r="AL134" s="129"/>
      <c r="AM134" s="129"/>
      <c r="AN134" s="129"/>
      <c r="AO134" s="129"/>
      <c r="AP134" s="129"/>
      <c r="AQ134" s="129"/>
      <c r="AR134" s="129"/>
      <c r="AS134" s="129"/>
      <c r="AT134" s="129"/>
      <c r="AU134" s="129"/>
      <c r="AV134" s="129"/>
      <c r="AW134" s="129"/>
      <c r="AX134" s="129"/>
      <c r="AY134" s="129"/>
      <c r="AZ134" s="129"/>
      <c r="BA134" s="129"/>
      <c r="BB134" s="129"/>
      <c r="BC134" s="129"/>
      <c r="BD134" s="129"/>
      <c r="BE134" s="129"/>
      <c r="BF134" s="129"/>
      <c r="BG134" s="129"/>
      <c r="BH134" s="129"/>
      <c r="BI134" s="129"/>
      <c r="BJ134" s="129"/>
      <c r="BK134" s="129"/>
      <c r="BL134" s="129"/>
      <c r="BM134" s="129"/>
      <c r="BN134" s="129"/>
      <c r="BO134" s="129"/>
      <c r="BP134" s="129"/>
      <c r="BQ134" s="129"/>
      <c r="BR134" s="129"/>
      <c r="BS134" s="129"/>
      <c r="BT134" s="129"/>
      <c r="BU134" s="129"/>
      <c r="BV134" s="129"/>
      <c r="BW134" s="129"/>
      <c r="BX134" s="129"/>
      <c r="BY134" s="129"/>
      <c r="BZ134" s="129"/>
      <c r="CA134" s="129"/>
      <c r="CB134" s="129"/>
      <c r="CC134" s="129"/>
      <c r="CD134" s="129"/>
      <c r="CE134" s="129"/>
      <c r="CF134" s="129"/>
      <c r="CG134" s="129"/>
      <c r="CH134" s="129"/>
      <c r="CI134" s="129"/>
      <c r="CJ134" s="129"/>
      <c r="CK134" s="129"/>
      <c r="CL134" s="129"/>
      <c r="CM134" s="129"/>
      <c r="CN134" s="129"/>
      <c r="CO134" s="129"/>
      <c r="CP134" s="129"/>
      <c r="CQ134" s="129"/>
      <c r="CR134" s="129"/>
      <c r="CS134" s="129"/>
      <c r="CT134" s="129"/>
      <c r="CU134" s="129"/>
    </row>
    <row r="135" spans="2:99" s="120" customFormat="1">
      <c r="B135" s="228"/>
      <c r="C135" s="228"/>
      <c r="D135" s="3"/>
      <c r="E135" s="228"/>
      <c r="F135" s="228"/>
      <c r="G135" s="3"/>
      <c r="H135" s="228"/>
      <c r="I135" s="129"/>
      <c r="J135" s="129"/>
      <c r="K135" s="129"/>
      <c r="L135" s="129"/>
      <c r="M135" s="129"/>
      <c r="N135" s="129"/>
      <c r="O135" s="129"/>
      <c r="P135" s="129"/>
      <c r="Q135" s="129"/>
      <c r="R135" s="129"/>
      <c r="S135" s="129"/>
      <c r="T135" s="129"/>
      <c r="U135" s="129"/>
      <c r="V135" s="129"/>
      <c r="W135" s="129"/>
      <c r="X135" s="129"/>
      <c r="Y135" s="129"/>
      <c r="Z135" s="129"/>
      <c r="AA135" s="129"/>
      <c r="AB135" s="129"/>
      <c r="AC135" s="129"/>
      <c r="AD135" s="129"/>
      <c r="AE135" s="129"/>
      <c r="AF135" s="129"/>
      <c r="AG135" s="129"/>
      <c r="AH135" s="129"/>
      <c r="AI135" s="129"/>
      <c r="AJ135" s="129"/>
      <c r="AK135" s="129"/>
      <c r="AL135" s="129"/>
      <c r="AM135" s="129"/>
      <c r="AN135" s="129"/>
      <c r="AO135" s="129"/>
      <c r="AP135" s="129"/>
      <c r="AQ135" s="129"/>
      <c r="AR135" s="129"/>
      <c r="AS135" s="129"/>
      <c r="AT135" s="129"/>
      <c r="AU135" s="129"/>
      <c r="AV135" s="129"/>
      <c r="AW135" s="129"/>
      <c r="AX135" s="129"/>
      <c r="AY135" s="129"/>
      <c r="AZ135" s="129"/>
      <c r="BA135" s="129"/>
      <c r="BB135" s="129"/>
      <c r="BC135" s="129"/>
      <c r="BD135" s="129"/>
      <c r="BE135" s="129"/>
      <c r="BF135" s="129"/>
      <c r="BG135" s="129"/>
      <c r="BH135" s="129"/>
      <c r="BI135" s="129"/>
      <c r="BJ135" s="129"/>
      <c r="BK135" s="129"/>
      <c r="BL135" s="129"/>
      <c r="BM135" s="129"/>
      <c r="BN135" s="129"/>
      <c r="BO135" s="129"/>
      <c r="BP135" s="129"/>
      <c r="BQ135" s="129"/>
      <c r="BR135" s="129"/>
      <c r="BS135" s="129"/>
      <c r="BT135" s="129"/>
      <c r="BU135" s="129"/>
      <c r="BV135" s="129"/>
      <c r="BW135" s="129"/>
      <c r="BX135" s="129"/>
      <c r="BY135" s="129"/>
      <c r="BZ135" s="129"/>
      <c r="CA135" s="129"/>
      <c r="CB135" s="129"/>
      <c r="CC135" s="129"/>
      <c r="CD135" s="129"/>
      <c r="CE135" s="129"/>
      <c r="CF135" s="129"/>
      <c r="CG135" s="129"/>
      <c r="CH135" s="129"/>
      <c r="CI135" s="129"/>
      <c r="CJ135" s="129"/>
      <c r="CK135" s="129"/>
      <c r="CL135" s="129"/>
      <c r="CM135" s="129"/>
      <c r="CN135" s="129"/>
      <c r="CO135" s="129"/>
      <c r="CP135" s="129"/>
      <c r="CQ135" s="129"/>
      <c r="CR135" s="129"/>
      <c r="CS135" s="129"/>
      <c r="CT135" s="129"/>
      <c r="CU135" s="129"/>
    </row>
    <row r="136" spans="2:99" s="120" customFormat="1">
      <c r="B136" s="228"/>
      <c r="C136" s="228"/>
      <c r="D136" s="3"/>
      <c r="E136" s="228"/>
      <c r="F136" s="228"/>
      <c r="G136" s="3"/>
      <c r="H136" s="228"/>
      <c r="I136" s="129"/>
      <c r="J136" s="129"/>
      <c r="K136" s="129"/>
      <c r="L136" s="129"/>
      <c r="M136" s="129"/>
      <c r="N136" s="129"/>
      <c r="O136" s="129"/>
      <c r="P136" s="129"/>
      <c r="Q136" s="129"/>
      <c r="R136" s="129"/>
      <c r="S136" s="129"/>
      <c r="T136" s="129"/>
      <c r="U136" s="129"/>
      <c r="V136" s="129"/>
      <c r="W136" s="129"/>
      <c r="X136" s="129"/>
      <c r="Y136" s="129"/>
      <c r="Z136" s="129"/>
      <c r="AA136" s="129"/>
      <c r="AB136" s="129"/>
      <c r="AC136" s="129"/>
      <c r="AD136" s="129"/>
      <c r="AE136" s="129"/>
      <c r="AF136" s="129"/>
      <c r="AG136" s="129"/>
      <c r="AH136" s="129"/>
      <c r="AI136" s="129"/>
      <c r="AJ136" s="129"/>
      <c r="AK136" s="129"/>
      <c r="AL136" s="129"/>
      <c r="AM136" s="129"/>
      <c r="AN136" s="129"/>
      <c r="AO136" s="129"/>
      <c r="AP136" s="129"/>
      <c r="AQ136" s="129"/>
      <c r="AR136" s="129"/>
      <c r="AS136" s="129"/>
      <c r="AT136" s="129"/>
      <c r="AU136" s="129"/>
      <c r="AV136" s="129"/>
      <c r="AW136" s="129"/>
      <c r="AX136" s="129"/>
      <c r="AY136" s="129"/>
      <c r="AZ136" s="129"/>
      <c r="BA136" s="129"/>
      <c r="BB136" s="129"/>
      <c r="BC136" s="129"/>
      <c r="BD136" s="129"/>
      <c r="BE136" s="129"/>
      <c r="BF136" s="129"/>
      <c r="BG136" s="129"/>
      <c r="BH136" s="129"/>
      <c r="BI136" s="129"/>
      <c r="BJ136" s="129"/>
      <c r="BK136" s="129"/>
      <c r="BL136" s="129"/>
      <c r="BM136" s="129"/>
      <c r="BN136" s="129"/>
      <c r="BO136" s="129"/>
      <c r="BP136" s="129"/>
      <c r="BQ136" s="129"/>
      <c r="BR136" s="129"/>
      <c r="BS136" s="129"/>
      <c r="BT136" s="129"/>
      <c r="BU136" s="129"/>
      <c r="BV136" s="129"/>
      <c r="BW136" s="129"/>
      <c r="BX136" s="129"/>
      <c r="BY136" s="129"/>
      <c r="BZ136" s="129"/>
      <c r="CA136" s="129"/>
      <c r="CB136" s="129"/>
      <c r="CC136" s="129"/>
      <c r="CD136" s="129"/>
      <c r="CE136" s="129"/>
      <c r="CF136" s="129"/>
      <c r="CG136" s="129"/>
      <c r="CH136" s="129"/>
      <c r="CI136" s="129"/>
      <c r="CJ136" s="129"/>
      <c r="CK136" s="129"/>
      <c r="CL136" s="129"/>
      <c r="CM136" s="129"/>
      <c r="CN136" s="129"/>
      <c r="CO136" s="129"/>
      <c r="CP136" s="129"/>
      <c r="CQ136" s="129"/>
      <c r="CR136" s="129"/>
      <c r="CS136" s="129"/>
      <c r="CT136" s="129"/>
      <c r="CU136" s="129"/>
    </row>
    <row r="137" spans="2:99" s="120" customFormat="1">
      <c r="B137" s="228"/>
      <c r="C137" s="228"/>
      <c r="D137" s="3"/>
      <c r="E137" s="228"/>
      <c r="F137" s="228"/>
      <c r="G137" s="3"/>
      <c r="H137" s="228"/>
      <c r="I137" s="129"/>
      <c r="J137" s="129"/>
      <c r="K137" s="129"/>
      <c r="L137" s="129"/>
      <c r="M137" s="129"/>
      <c r="N137" s="129"/>
      <c r="O137" s="129"/>
      <c r="P137" s="129"/>
      <c r="Q137" s="129"/>
      <c r="R137" s="129"/>
      <c r="S137" s="129"/>
      <c r="T137" s="129"/>
      <c r="U137" s="129"/>
      <c r="V137" s="129"/>
      <c r="W137" s="129"/>
      <c r="X137" s="129"/>
      <c r="Y137" s="129"/>
      <c r="Z137" s="129"/>
      <c r="AA137" s="129"/>
      <c r="AB137" s="129"/>
      <c r="AC137" s="129"/>
      <c r="AD137" s="129"/>
      <c r="AE137" s="129"/>
      <c r="AF137" s="129"/>
      <c r="AG137" s="129"/>
      <c r="AH137" s="129"/>
      <c r="AI137" s="129"/>
      <c r="AJ137" s="129"/>
      <c r="AK137" s="129"/>
      <c r="AL137" s="129"/>
      <c r="AM137" s="129"/>
      <c r="AN137" s="129"/>
      <c r="AO137" s="129"/>
      <c r="AP137" s="129"/>
      <c r="AQ137" s="129"/>
      <c r="AR137" s="129"/>
      <c r="AS137" s="129"/>
      <c r="AT137" s="129"/>
      <c r="AU137" s="129"/>
      <c r="AV137" s="129"/>
      <c r="AW137" s="129"/>
      <c r="AX137" s="129"/>
      <c r="AY137" s="129"/>
      <c r="AZ137" s="129"/>
      <c r="BA137" s="129"/>
      <c r="BB137" s="129"/>
      <c r="BC137" s="129"/>
      <c r="BD137" s="129"/>
      <c r="BE137" s="129"/>
      <c r="BF137" s="129"/>
      <c r="BG137" s="129"/>
      <c r="BH137" s="129"/>
      <c r="BI137" s="129"/>
      <c r="BJ137" s="129"/>
      <c r="BK137" s="129"/>
      <c r="BL137" s="129"/>
      <c r="BM137" s="129"/>
      <c r="BN137" s="129"/>
      <c r="BO137" s="129"/>
      <c r="BP137" s="129"/>
      <c r="BQ137" s="129"/>
      <c r="BR137" s="129"/>
      <c r="BS137" s="129"/>
      <c r="BT137" s="129"/>
      <c r="BU137" s="129"/>
      <c r="BV137" s="129"/>
      <c r="BW137" s="129"/>
      <c r="BX137" s="129"/>
      <c r="BY137" s="129"/>
      <c r="BZ137" s="129"/>
      <c r="CA137" s="129"/>
      <c r="CB137" s="129"/>
      <c r="CC137" s="129"/>
      <c r="CD137" s="129"/>
      <c r="CE137" s="129"/>
      <c r="CF137" s="129"/>
      <c r="CG137" s="129"/>
      <c r="CH137" s="129"/>
      <c r="CI137" s="129"/>
      <c r="CJ137" s="129"/>
      <c r="CK137" s="129"/>
      <c r="CL137" s="129"/>
      <c r="CM137" s="129"/>
      <c r="CN137" s="129"/>
      <c r="CO137" s="129"/>
      <c r="CP137" s="129"/>
      <c r="CQ137" s="129"/>
      <c r="CR137" s="129"/>
      <c r="CS137" s="129"/>
      <c r="CT137" s="129"/>
      <c r="CU137" s="129"/>
    </row>
    <row r="138" spans="2:99" s="120" customFormat="1">
      <c r="B138" s="228"/>
      <c r="C138" s="228"/>
      <c r="D138" s="3"/>
      <c r="E138" s="228"/>
      <c r="F138" s="228"/>
      <c r="G138" s="3"/>
      <c r="H138" s="228"/>
      <c r="I138" s="129"/>
      <c r="J138" s="129"/>
      <c r="K138" s="129"/>
      <c r="L138" s="129"/>
      <c r="M138" s="129"/>
      <c r="N138" s="129"/>
      <c r="O138" s="129"/>
      <c r="P138" s="129"/>
      <c r="Q138" s="129"/>
      <c r="R138" s="129"/>
      <c r="S138" s="129"/>
      <c r="T138" s="129"/>
      <c r="U138" s="129"/>
      <c r="V138" s="129"/>
      <c r="W138" s="129"/>
      <c r="X138" s="129"/>
      <c r="Y138" s="129"/>
      <c r="Z138" s="129"/>
      <c r="AA138" s="129"/>
      <c r="AB138" s="129"/>
      <c r="AC138" s="129"/>
      <c r="AD138" s="129"/>
      <c r="AE138" s="129"/>
      <c r="AF138" s="129"/>
      <c r="AG138" s="129"/>
      <c r="AH138" s="129"/>
      <c r="AI138" s="129"/>
      <c r="AJ138" s="129"/>
      <c r="AK138" s="129"/>
      <c r="AL138" s="129"/>
      <c r="AM138" s="129"/>
      <c r="AN138" s="129"/>
      <c r="AO138" s="129"/>
      <c r="AP138" s="129"/>
      <c r="AQ138" s="129"/>
      <c r="AR138" s="129"/>
      <c r="AS138" s="129"/>
      <c r="AT138" s="129"/>
      <c r="AU138" s="129"/>
      <c r="AV138" s="129"/>
      <c r="AW138" s="129"/>
      <c r="AX138" s="129"/>
      <c r="AY138" s="129"/>
      <c r="AZ138" s="129"/>
      <c r="BA138" s="129"/>
      <c r="BB138" s="129"/>
      <c r="BC138" s="129"/>
      <c r="BD138" s="129"/>
      <c r="BE138" s="129"/>
      <c r="BF138" s="129"/>
      <c r="BG138" s="129"/>
      <c r="BH138" s="129"/>
      <c r="BI138" s="129"/>
      <c r="BJ138" s="129"/>
      <c r="BK138" s="129"/>
      <c r="BL138" s="129"/>
      <c r="BM138" s="129"/>
      <c r="BN138" s="129"/>
      <c r="BO138" s="129"/>
      <c r="BP138" s="129"/>
      <c r="BQ138" s="129"/>
      <c r="BR138" s="129"/>
      <c r="BS138" s="129"/>
      <c r="BT138" s="129"/>
      <c r="BU138" s="129"/>
      <c r="BV138" s="129"/>
      <c r="BW138" s="129"/>
      <c r="BX138" s="129"/>
      <c r="BY138" s="129"/>
      <c r="BZ138" s="129"/>
      <c r="CA138" s="129"/>
      <c r="CB138" s="129"/>
      <c r="CC138" s="129"/>
      <c r="CD138" s="129"/>
      <c r="CE138" s="129"/>
      <c r="CF138" s="129"/>
      <c r="CG138" s="129"/>
      <c r="CH138" s="129"/>
      <c r="CI138" s="129"/>
      <c r="CJ138" s="129"/>
      <c r="CK138" s="129"/>
      <c r="CL138" s="129"/>
      <c r="CM138" s="129"/>
      <c r="CN138" s="129"/>
      <c r="CO138" s="129"/>
      <c r="CP138" s="129"/>
      <c r="CQ138" s="129"/>
      <c r="CR138" s="129"/>
      <c r="CS138" s="129"/>
      <c r="CT138" s="129"/>
      <c r="CU138" s="129"/>
    </row>
    <row r="139" spans="2:99" s="120" customFormat="1">
      <c r="B139" s="228"/>
      <c r="C139" s="228"/>
      <c r="D139" s="3"/>
      <c r="E139" s="228"/>
      <c r="F139" s="228"/>
      <c r="G139" s="3"/>
      <c r="H139" s="228"/>
      <c r="I139" s="129"/>
      <c r="J139" s="129"/>
      <c r="K139" s="129"/>
      <c r="L139" s="129"/>
      <c r="M139" s="129"/>
      <c r="N139" s="129"/>
      <c r="O139" s="129"/>
      <c r="P139" s="129"/>
      <c r="Q139" s="129"/>
      <c r="R139" s="129"/>
      <c r="S139" s="129"/>
      <c r="T139" s="129"/>
      <c r="U139" s="129"/>
      <c r="V139" s="129"/>
      <c r="W139" s="129"/>
      <c r="X139" s="129"/>
      <c r="Y139" s="129"/>
      <c r="Z139" s="129"/>
      <c r="AA139" s="129"/>
      <c r="AB139" s="129"/>
      <c r="AC139" s="129"/>
      <c r="AD139" s="129"/>
      <c r="AE139" s="129"/>
      <c r="AF139" s="129"/>
      <c r="AG139" s="129"/>
      <c r="AH139" s="129"/>
      <c r="AI139" s="129"/>
      <c r="AJ139" s="129"/>
      <c r="AK139" s="129"/>
      <c r="AL139" s="129"/>
      <c r="AM139" s="129"/>
      <c r="AN139" s="129"/>
      <c r="AO139" s="129"/>
      <c r="AP139" s="129"/>
      <c r="AQ139" s="129"/>
      <c r="AR139" s="129"/>
      <c r="AS139" s="129"/>
      <c r="AT139" s="129"/>
      <c r="AU139" s="129"/>
      <c r="AV139" s="129"/>
      <c r="AW139" s="129"/>
      <c r="AX139" s="129"/>
      <c r="AY139" s="129"/>
      <c r="AZ139" s="129"/>
      <c r="BA139" s="129"/>
      <c r="BB139" s="129"/>
      <c r="BC139" s="129"/>
      <c r="BD139" s="129"/>
      <c r="BE139" s="129"/>
      <c r="BF139" s="129"/>
      <c r="BG139" s="129"/>
      <c r="BH139" s="129"/>
      <c r="BI139" s="129"/>
      <c r="BJ139" s="129"/>
      <c r="BK139" s="129"/>
      <c r="BL139" s="129"/>
      <c r="BM139" s="129"/>
      <c r="BN139" s="129"/>
      <c r="BO139" s="129"/>
      <c r="BP139" s="129"/>
      <c r="BQ139" s="129"/>
      <c r="BR139" s="129"/>
      <c r="BS139" s="129"/>
      <c r="BT139" s="129"/>
      <c r="BU139" s="129"/>
      <c r="BV139" s="129"/>
      <c r="BW139" s="129"/>
      <c r="BX139" s="129"/>
      <c r="BY139" s="129"/>
      <c r="BZ139" s="129"/>
      <c r="CA139" s="129"/>
      <c r="CB139" s="129"/>
      <c r="CC139" s="129"/>
      <c r="CD139" s="129"/>
      <c r="CE139" s="129"/>
      <c r="CF139" s="129"/>
      <c r="CG139" s="129"/>
      <c r="CH139" s="129"/>
      <c r="CI139" s="129"/>
      <c r="CJ139" s="129"/>
      <c r="CK139" s="129"/>
      <c r="CL139" s="129"/>
      <c r="CM139" s="129"/>
      <c r="CN139" s="129"/>
      <c r="CO139" s="129"/>
      <c r="CP139" s="129"/>
      <c r="CQ139" s="129"/>
      <c r="CR139" s="129"/>
      <c r="CS139" s="129"/>
      <c r="CT139" s="129"/>
      <c r="CU139" s="129"/>
    </row>
    <row r="140" spans="2:99" s="120" customFormat="1">
      <c r="B140" s="228"/>
      <c r="C140" s="228"/>
      <c r="D140" s="3"/>
      <c r="E140" s="228"/>
      <c r="F140" s="228"/>
      <c r="G140" s="3"/>
      <c r="H140" s="228"/>
      <c r="I140" s="129"/>
      <c r="J140" s="129"/>
      <c r="K140" s="129"/>
      <c r="L140" s="129"/>
      <c r="M140" s="129"/>
      <c r="N140" s="129"/>
      <c r="O140" s="129"/>
      <c r="P140" s="129"/>
      <c r="Q140" s="129"/>
      <c r="R140" s="129"/>
      <c r="S140" s="129"/>
      <c r="T140" s="129"/>
      <c r="U140" s="129"/>
      <c r="V140" s="129"/>
      <c r="W140" s="129"/>
      <c r="X140" s="129"/>
      <c r="Y140" s="129"/>
      <c r="Z140" s="129"/>
      <c r="AA140" s="129"/>
      <c r="AB140" s="129"/>
      <c r="AC140" s="129"/>
      <c r="AD140" s="129"/>
      <c r="AE140" s="129"/>
      <c r="AF140" s="129"/>
      <c r="AG140" s="129"/>
      <c r="AH140" s="129"/>
      <c r="AI140" s="129"/>
      <c r="AJ140" s="129"/>
      <c r="AK140" s="129"/>
      <c r="AL140" s="129"/>
      <c r="AM140" s="129"/>
      <c r="AN140" s="129"/>
      <c r="AO140" s="129"/>
      <c r="AP140" s="129"/>
      <c r="AQ140" s="129"/>
      <c r="AR140" s="129"/>
      <c r="AS140" s="129"/>
      <c r="AT140" s="129"/>
      <c r="AU140" s="129"/>
      <c r="AV140" s="129"/>
      <c r="AW140" s="129"/>
      <c r="AX140" s="129"/>
      <c r="AY140" s="129"/>
      <c r="AZ140" s="129"/>
      <c r="BA140" s="129"/>
      <c r="BB140" s="129"/>
      <c r="BC140" s="129"/>
      <c r="BD140" s="129"/>
      <c r="BE140" s="129"/>
      <c r="BF140" s="129"/>
      <c r="BG140" s="129"/>
      <c r="BH140" s="129"/>
      <c r="BI140" s="129"/>
      <c r="BJ140" s="129"/>
      <c r="BK140" s="129"/>
      <c r="BL140" s="129"/>
      <c r="BM140" s="129"/>
      <c r="BN140" s="129"/>
      <c r="BO140" s="129"/>
      <c r="BP140" s="129"/>
      <c r="BQ140" s="129"/>
      <c r="BR140" s="129"/>
      <c r="BS140" s="129"/>
      <c r="BT140" s="129"/>
      <c r="BU140" s="129"/>
      <c r="BV140" s="129"/>
      <c r="BW140" s="129"/>
      <c r="BX140" s="129"/>
      <c r="BY140" s="129"/>
      <c r="BZ140" s="129"/>
      <c r="CA140" s="129"/>
      <c r="CB140" s="129"/>
      <c r="CC140" s="129"/>
      <c r="CD140" s="129"/>
      <c r="CE140" s="129"/>
      <c r="CF140" s="129"/>
      <c r="CG140" s="129"/>
      <c r="CH140" s="129"/>
      <c r="CI140" s="129"/>
      <c r="CJ140" s="129"/>
      <c r="CK140" s="129"/>
      <c r="CL140" s="129"/>
      <c r="CM140" s="129"/>
      <c r="CN140" s="129"/>
      <c r="CO140" s="129"/>
      <c r="CP140" s="129"/>
      <c r="CQ140" s="129"/>
      <c r="CR140" s="129"/>
      <c r="CS140" s="129"/>
      <c r="CT140" s="129"/>
      <c r="CU140" s="129"/>
    </row>
    <row r="141" spans="2:99" s="120" customFormat="1">
      <c r="B141" s="228"/>
      <c r="C141" s="228"/>
      <c r="D141" s="3"/>
      <c r="E141" s="228"/>
      <c r="F141" s="228"/>
      <c r="G141" s="3"/>
      <c r="H141" s="228"/>
      <c r="I141" s="129"/>
      <c r="J141" s="129"/>
      <c r="K141" s="129"/>
      <c r="L141" s="129"/>
      <c r="M141" s="129"/>
      <c r="N141" s="129"/>
      <c r="O141" s="129"/>
      <c r="P141" s="129"/>
      <c r="Q141" s="129"/>
      <c r="R141" s="129"/>
      <c r="S141" s="129"/>
      <c r="T141" s="129"/>
      <c r="U141" s="129"/>
      <c r="V141" s="129"/>
      <c r="W141" s="129"/>
      <c r="X141" s="129"/>
      <c r="Y141" s="129"/>
      <c r="Z141" s="129"/>
      <c r="AA141" s="129"/>
      <c r="AB141" s="129"/>
      <c r="AC141" s="129"/>
      <c r="AD141" s="129"/>
      <c r="AE141" s="129"/>
      <c r="AF141" s="129"/>
      <c r="AG141" s="129"/>
      <c r="AH141" s="129"/>
      <c r="AI141" s="129"/>
      <c r="AJ141" s="129"/>
      <c r="AK141" s="129"/>
      <c r="AL141" s="129"/>
      <c r="AM141" s="129"/>
      <c r="AN141" s="129"/>
      <c r="AO141" s="129"/>
      <c r="AP141" s="129"/>
      <c r="AQ141" s="129"/>
      <c r="AR141" s="129"/>
      <c r="AS141" s="129"/>
      <c r="AT141" s="129"/>
      <c r="AU141" s="129"/>
      <c r="AV141" s="129"/>
      <c r="AW141" s="129"/>
      <c r="AX141" s="129"/>
      <c r="AY141" s="129"/>
      <c r="AZ141" s="129"/>
      <c r="BA141" s="129"/>
      <c r="BB141" s="129"/>
      <c r="BC141" s="129"/>
      <c r="BD141" s="129"/>
      <c r="BE141" s="129"/>
      <c r="BF141" s="129"/>
      <c r="BG141" s="129"/>
      <c r="BH141" s="129"/>
      <c r="BI141" s="129"/>
      <c r="BJ141" s="129"/>
      <c r="BK141" s="129"/>
      <c r="BL141" s="129"/>
      <c r="BM141" s="129"/>
      <c r="BN141" s="129"/>
      <c r="BO141" s="129"/>
      <c r="BP141" s="129"/>
      <c r="BQ141" s="129"/>
      <c r="BR141" s="129"/>
      <c r="BS141" s="129"/>
      <c r="BT141" s="129"/>
      <c r="BU141" s="129"/>
      <c r="BV141" s="129"/>
      <c r="BW141" s="129"/>
      <c r="BX141" s="129"/>
      <c r="BY141" s="129"/>
      <c r="BZ141" s="129"/>
      <c r="CA141" s="129"/>
      <c r="CB141" s="129"/>
      <c r="CC141" s="129"/>
      <c r="CD141" s="129"/>
      <c r="CE141" s="129"/>
      <c r="CF141" s="129"/>
      <c r="CG141" s="129"/>
      <c r="CH141" s="129"/>
      <c r="CI141" s="129"/>
      <c r="CJ141" s="129"/>
      <c r="CK141" s="129"/>
      <c r="CL141" s="129"/>
      <c r="CM141" s="129"/>
      <c r="CN141" s="129"/>
      <c r="CO141" s="129"/>
      <c r="CP141" s="129"/>
      <c r="CQ141" s="129"/>
      <c r="CR141" s="129"/>
      <c r="CS141" s="129"/>
      <c r="CT141" s="129"/>
      <c r="CU141" s="129"/>
    </row>
    <row r="142" spans="2:99" s="120" customFormat="1">
      <c r="B142" s="228"/>
      <c r="C142" s="228"/>
      <c r="D142" s="3"/>
      <c r="E142" s="228"/>
      <c r="F142" s="228"/>
      <c r="G142" s="3"/>
      <c r="H142" s="228"/>
      <c r="I142" s="129"/>
      <c r="J142" s="129"/>
      <c r="K142" s="129"/>
      <c r="L142" s="129"/>
      <c r="M142" s="129"/>
      <c r="N142" s="129"/>
      <c r="O142" s="129"/>
      <c r="P142" s="129"/>
      <c r="Q142" s="129"/>
      <c r="R142" s="129"/>
      <c r="S142" s="129"/>
      <c r="T142" s="129"/>
      <c r="U142" s="129"/>
      <c r="V142" s="129"/>
      <c r="W142" s="129"/>
      <c r="X142" s="129"/>
      <c r="Y142" s="129"/>
      <c r="Z142" s="129"/>
      <c r="AA142" s="129"/>
      <c r="AB142" s="129"/>
      <c r="AC142" s="129"/>
      <c r="AD142" s="129"/>
      <c r="AE142" s="129"/>
      <c r="AF142" s="129"/>
      <c r="AG142" s="129"/>
      <c r="AH142" s="129"/>
      <c r="AI142" s="129"/>
      <c r="AJ142" s="129"/>
      <c r="AK142" s="129"/>
      <c r="AL142" s="129"/>
      <c r="AM142" s="129"/>
      <c r="AN142" s="129"/>
      <c r="AO142" s="129"/>
      <c r="AP142" s="129"/>
      <c r="AQ142" s="129"/>
      <c r="AR142" s="129"/>
      <c r="AS142" s="129"/>
      <c r="AT142" s="129"/>
      <c r="AU142" s="129"/>
      <c r="AV142" s="129"/>
      <c r="AW142" s="129"/>
      <c r="AX142" s="129"/>
      <c r="AY142" s="129"/>
      <c r="AZ142" s="129"/>
      <c r="BA142" s="129"/>
      <c r="BB142" s="129"/>
      <c r="BC142" s="129"/>
      <c r="BD142" s="129"/>
      <c r="BE142" s="129"/>
      <c r="BF142" s="129"/>
      <c r="BG142" s="129"/>
      <c r="BH142" s="129"/>
      <c r="BI142" s="129"/>
      <c r="BJ142" s="129"/>
      <c r="BK142" s="129"/>
      <c r="BL142" s="129"/>
      <c r="BM142" s="129"/>
      <c r="BN142" s="129"/>
      <c r="BO142" s="129"/>
      <c r="BP142" s="129"/>
      <c r="BQ142" s="129"/>
      <c r="BR142" s="129"/>
      <c r="BS142" s="129"/>
      <c r="BT142" s="129"/>
      <c r="BU142" s="129"/>
      <c r="BV142" s="129"/>
      <c r="BW142" s="129"/>
      <c r="BX142" s="129"/>
      <c r="BY142" s="129"/>
      <c r="BZ142" s="129"/>
      <c r="CA142" s="129"/>
      <c r="CB142" s="129"/>
      <c r="CC142" s="129"/>
      <c r="CD142" s="129"/>
      <c r="CE142" s="129"/>
      <c r="CF142" s="129"/>
      <c r="CG142" s="129"/>
      <c r="CH142" s="129"/>
      <c r="CI142" s="129"/>
      <c r="CJ142" s="129"/>
      <c r="CK142" s="129"/>
      <c r="CL142" s="129"/>
      <c r="CM142" s="129"/>
      <c r="CN142" s="129"/>
      <c r="CO142" s="129"/>
      <c r="CP142" s="129"/>
      <c r="CQ142" s="129"/>
      <c r="CR142" s="129"/>
      <c r="CS142" s="129"/>
      <c r="CT142" s="129"/>
      <c r="CU142" s="129"/>
    </row>
    <row r="143" spans="2:99" s="120" customFormat="1">
      <c r="B143" s="228"/>
      <c r="C143" s="228"/>
      <c r="D143" s="3"/>
      <c r="E143" s="228"/>
      <c r="F143" s="228"/>
      <c r="G143" s="3"/>
      <c r="H143" s="228"/>
      <c r="I143" s="129"/>
      <c r="J143" s="129"/>
      <c r="K143" s="129"/>
      <c r="L143" s="129"/>
      <c r="M143" s="129"/>
      <c r="N143" s="129"/>
      <c r="O143" s="129"/>
      <c r="P143" s="129"/>
      <c r="Q143" s="129"/>
      <c r="R143" s="129"/>
      <c r="S143" s="129"/>
      <c r="T143" s="129"/>
      <c r="U143" s="129"/>
      <c r="V143" s="129"/>
      <c r="W143" s="129"/>
      <c r="X143" s="129"/>
      <c r="Y143" s="129"/>
      <c r="Z143" s="129"/>
      <c r="AA143" s="129"/>
      <c r="AB143" s="129"/>
      <c r="AC143" s="129"/>
      <c r="AD143" s="129"/>
      <c r="AE143" s="129"/>
      <c r="AF143" s="129"/>
      <c r="AG143" s="129"/>
      <c r="AH143" s="129"/>
      <c r="AI143" s="129"/>
      <c r="AJ143" s="129"/>
      <c r="AK143" s="129"/>
      <c r="AL143" s="129"/>
      <c r="AM143" s="129"/>
      <c r="AN143" s="129"/>
      <c r="AO143" s="129"/>
      <c r="AP143" s="129"/>
      <c r="AQ143" s="129"/>
      <c r="AR143" s="129"/>
      <c r="AS143" s="129"/>
      <c r="AT143" s="129"/>
      <c r="AU143" s="129"/>
      <c r="AV143" s="129"/>
      <c r="AW143" s="129"/>
      <c r="AX143" s="129"/>
      <c r="AY143" s="129"/>
      <c r="AZ143" s="129"/>
      <c r="BA143" s="129"/>
      <c r="BB143" s="129"/>
      <c r="BC143" s="129"/>
      <c r="BD143" s="129"/>
      <c r="BE143" s="129"/>
      <c r="BF143" s="129"/>
      <c r="BG143" s="129"/>
      <c r="BH143" s="129"/>
      <c r="BI143" s="129"/>
      <c r="BJ143" s="129"/>
      <c r="BK143" s="129"/>
      <c r="BL143" s="129"/>
      <c r="BM143" s="129"/>
      <c r="BN143" s="129"/>
      <c r="BO143" s="129"/>
      <c r="BP143" s="129"/>
      <c r="BQ143" s="129"/>
      <c r="BR143" s="129"/>
      <c r="BS143" s="129"/>
      <c r="BT143" s="129"/>
      <c r="BU143" s="129"/>
      <c r="BV143" s="129"/>
      <c r="BW143" s="129"/>
      <c r="BX143" s="129"/>
      <c r="BY143" s="129"/>
      <c r="BZ143" s="129"/>
      <c r="CA143" s="129"/>
      <c r="CB143" s="129"/>
      <c r="CC143" s="129"/>
      <c r="CD143" s="129"/>
      <c r="CE143" s="129"/>
      <c r="CF143" s="129"/>
      <c r="CG143" s="129"/>
      <c r="CH143" s="129"/>
      <c r="CI143" s="129"/>
      <c r="CJ143" s="129"/>
      <c r="CK143" s="129"/>
      <c r="CL143" s="129"/>
      <c r="CM143" s="129"/>
      <c r="CN143" s="129"/>
      <c r="CO143" s="129"/>
      <c r="CP143" s="129"/>
      <c r="CQ143" s="129"/>
      <c r="CR143" s="129"/>
      <c r="CS143" s="129"/>
      <c r="CT143" s="129"/>
      <c r="CU143" s="129"/>
    </row>
    <row r="144" spans="2:99" s="120" customFormat="1">
      <c r="B144" s="228"/>
      <c r="C144" s="228"/>
      <c r="D144" s="3"/>
      <c r="E144" s="228"/>
      <c r="F144" s="228"/>
      <c r="G144" s="3"/>
      <c r="H144" s="228"/>
      <c r="I144" s="129"/>
      <c r="J144" s="129"/>
      <c r="K144" s="129"/>
      <c r="L144" s="129"/>
      <c r="M144" s="129"/>
      <c r="N144" s="129"/>
      <c r="O144" s="129"/>
      <c r="P144" s="129"/>
      <c r="Q144" s="129"/>
      <c r="R144" s="129"/>
      <c r="S144" s="129"/>
      <c r="T144" s="129"/>
      <c r="U144" s="129"/>
      <c r="V144" s="129"/>
      <c r="W144" s="129"/>
      <c r="X144" s="129"/>
      <c r="Y144" s="129"/>
      <c r="Z144" s="129"/>
      <c r="AA144" s="129"/>
      <c r="AB144" s="129"/>
      <c r="AC144" s="129"/>
      <c r="AD144" s="129"/>
      <c r="AE144" s="129"/>
      <c r="AF144" s="129"/>
      <c r="AG144" s="129"/>
      <c r="AH144" s="129"/>
      <c r="AI144" s="129"/>
      <c r="AJ144" s="129"/>
      <c r="AK144" s="129"/>
      <c r="AL144" s="129"/>
      <c r="AM144" s="129"/>
      <c r="AN144" s="129"/>
      <c r="AO144" s="129"/>
      <c r="AP144" s="129"/>
      <c r="AQ144" s="129"/>
      <c r="AR144" s="129"/>
      <c r="AS144" s="129"/>
      <c r="AT144" s="129"/>
      <c r="AU144" s="129"/>
      <c r="AV144" s="129"/>
      <c r="AW144" s="129"/>
      <c r="AX144" s="129"/>
      <c r="AY144" s="129"/>
      <c r="AZ144" s="129"/>
      <c r="BA144" s="129"/>
      <c r="BB144" s="129"/>
      <c r="BC144" s="129"/>
      <c r="BD144" s="129"/>
      <c r="BE144" s="129"/>
      <c r="BF144" s="129"/>
      <c r="BG144" s="129"/>
      <c r="BH144" s="129"/>
      <c r="BI144" s="129"/>
      <c r="BJ144" s="129"/>
      <c r="BK144" s="129"/>
      <c r="BL144" s="129"/>
      <c r="BM144" s="129"/>
      <c r="BN144" s="129"/>
      <c r="BO144" s="129"/>
      <c r="BP144" s="129"/>
      <c r="BQ144" s="129"/>
      <c r="BR144" s="129"/>
      <c r="BS144" s="129"/>
      <c r="BT144" s="129"/>
      <c r="BU144" s="129"/>
      <c r="BV144" s="129"/>
      <c r="BW144" s="129"/>
      <c r="BX144" s="129"/>
      <c r="BY144" s="129"/>
      <c r="BZ144" s="129"/>
      <c r="CA144" s="129"/>
      <c r="CB144" s="129"/>
      <c r="CC144" s="129"/>
      <c r="CD144" s="129"/>
      <c r="CE144" s="129"/>
      <c r="CF144" s="129"/>
      <c r="CG144" s="129"/>
      <c r="CH144" s="129"/>
      <c r="CI144" s="129"/>
      <c r="CJ144" s="129"/>
      <c r="CK144" s="129"/>
      <c r="CL144" s="129"/>
      <c r="CM144" s="129"/>
      <c r="CN144" s="129"/>
      <c r="CO144" s="129"/>
      <c r="CP144" s="129"/>
      <c r="CQ144" s="129"/>
      <c r="CR144" s="129"/>
      <c r="CS144" s="129"/>
      <c r="CT144" s="129"/>
      <c r="CU144" s="129"/>
    </row>
    <row r="145" spans="2:99" s="120" customFormat="1">
      <c r="B145" s="228"/>
      <c r="C145" s="228"/>
      <c r="D145" s="3"/>
      <c r="E145" s="228"/>
      <c r="F145" s="228"/>
      <c r="G145" s="3"/>
      <c r="H145" s="228"/>
      <c r="I145" s="129"/>
      <c r="J145" s="129"/>
      <c r="K145" s="129"/>
      <c r="L145" s="129"/>
      <c r="M145" s="129"/>
      <c r="N145" s="129"/>
      <c r="O145" s="129"/>
      <c r="P145" s="129"/>
      <c r="Q145" s="129"/>
      <c r="R145" s="129"/>
      <c r="S145" s="129"/>
      <c r="T145" s="129"/>
      <c r="U145" s="129"/>
      <c r="V145" s="129"/>
      <c r="W145" s="129"/>
      <c r="X145" s="129"/>
      <c r="Y145" s="129"/>
      <c r="Z145" s="129"/>
      <c r="AA145" s="129"/>
      <c r="AB145" s="129"/>
      <c r="AC145" s="129"/>
      <c r="AD145" s="129"/>
      <c r="AE145" s="129"/>
      <c r="AF145" s="129"/>
      <c r="AG145" s="129"/>
      <c r="AH145" s="129"/>
      <c r="AI145" s="129"/>
      <c r="AJ145" s="129"/>
      <c r="AK145" s="129"/>
      <c r="AL145" s="129"/>
      <c r="AM145" s="129"/>
      <c r="AN145" s="129"/>
      <c r="AO145" s="129"/>
      <c r="AP145" s="129"/>
      <c r="AQ145" s="129"/>
      <c r="AR145" s="129"/>
      <c r="AS145" s="129"/>
      <c r="AT145" s="129"/>
      <c r="AU145" s="129"/>
      <c r="AV145" s="129"/>
      <c r="AW145" s="129"/>
      <c r="AX145" s="129"/>
      <c r="AY145" s="129"/>
      <c r="AZ145" s="129"/>
      <c r="BA145" s="129"/>
      <c r="BB145" s="129"/>
      <c r="BC145" s="129"/>
      <c r="BD145" s="129"/>
      <c r="BE145" s="129"/>
      <c r="BF145" s="129"/>
      <c r="BG145" s="129"/>
      <c r="BH145" s="129"/>
      <c r="BI145" s="129"/>
      <c r="BJ145" s="129"/>
      <c r="BK145" s="129"/>
      <c r="BL145" s="129"/>
      <c r="BM145" s="129"/>
      <c r="BN145" s="129"/>
      <c r="BO145" s="129"/>
      <c r="BP145" s="129"/>
      <c r="BQ145" s="129"/>
      <c r="BR145" s="129"/>
      <c r="BS145" s="129"/>
      <c r="BT145" s="129"/>
      <c r="BU145" s="129"/>
      <c r="BV145" s="129"/>
      <c r="BW145" s="129"/>
      <c r="BX145" s="129"/>
      <c r="BY145" s="129"/>
      <c r="BZ145" s="129"/>
      <c r="CA145" s="129"/>
      <c r="CB145" s="129"/>
      <c r="CC145" s="129"/>
      <c r="CD145" s="129"/>
      <c r="CE145" s="129"/>
      <c r="CF145" s="129"/>
      <c r="CG145" s="129"/>
      <c r="CH145" s="129"/>
      <c r="CI145" s="129"/>
      <c r="CJ145" s="129"/>
      <c r="CK145" s="129"/>
      <c r="CL145" s="129"/>
      <c r="CM145" s="129"/>
      <c r="CN145" s="129"/>
      <c r="CO145" s="129"/>
      <c r="CP145" s="129"/>
      <c r="CQ145" s="129"/>
      <c r="CR145" s="129"/>
      <c r="CS145" s="129"/>
      <c r="CT145" s="129"/>
      <c r="CU145" s="129"/>
    </row>
    <row r="146" spans="2:99" s="120" customFormat="1">
      <c r="B146" s="228"/>
      <c r="C146" s="228"/>
      <c r="D146" s="3"/>
      <c r="E146" s="228"/>
      <c r="F146" s="228"/>
      <c r="G146" s="3"/>
      <c r="H146" s="228"/>
      <c r="I146" s="129"/>
      <c r="J146" s="129"/>
      <c r="K146" s="129"/>
      <c r="L146" s="129"/>
      <c r="M146" s="129"/>
      <c r="N146" s="129"/>
      <c r="O146" s="129"/>
      <c r="P146" s="129"/>
      <c r="Q146" s="129"/>
      <c r="R146" s="129"/>
      <c r="S146" s="129"/>
      <c r="T146" s="129"/>
      <c r="U146" s="129"/>
      <c r="V146" s="129"/>
      <c r="W146" s="129"/>
      <c r="X146" s="129"/>
      <c r="Y146" s="129"/>
      <c r="Z146" s="129"/>
      <c r="AA146" s="129"/>
      <c r="AB146" s="129"/>
      <c r="AC146" s="129"/>
      <c r="AD146" s="129"/>
      <c r="AE146" s="129"/>
      <c r="AF146" s="129"/>
      <c r="AG146" s="129"/>
      <c r="AH146" s="129"/>
      <c r="AI146" s="129"/>
      <c r="AJ146" s="129"/>
      <c r="AK146" s="129"/>
      <c r="AL146" s="129"/>
      <c r="AM146" s="129"/>
      <c r="AN146" s="129"/>
      <c r="AO146" s="129"/>
      <c r="AP146" s="129"/>
      <c r="AQ146" s="129"/>
      <c r="AR146" s="129"/>
      <c r="AS146" s="129"/>
      <c r="AT146" s="129"/>
      <c r="AU146" s="129"/>
      <c r="AV146" s="129"/>
      <c r="AW146" s="129"/>
      <c r="AX146" s="129"/>
      <c r="AY146" s="129"/>
      <c r="AZ146" s="129"/>
      <c r="BA146" s="129"/>
      <c r="BB146" s="129"/>
      <c r="BC146" s="129"/>
      <c r="BD146" s="129"/>
      <c r="BE146" s="129"/>
      <c r="BF146" s="129"/>
      <c r="BG146" s="129"/>
      <c r="BH146" s="129"/>
      <c r="BI146" s="129"/>
      <c r="BJ146" s="129"/>
      <c r="BK146" s="129"/>
      <c r="BL146" s="129"/>
      <c r="BM146" s="129"/>
      <c r="BN146" s="129"/>
      <c r="BO146" s="129"/>
      <c r="BP146" s="129"/>
      <c r="BQ146" s="129"/>
      <c r="BR146" s="129"/>
      <c r="BS146" s="129"/>
      <c r="BT146" s="129"/>
      <c r="BU146" s="129"/>
      <c r="BV146" s="129"/>
      <c r="BW146" s="129"/>
      <c r="BX146" s="129"/>
      <c r="BY146" s="129"/>
      <c r="BZ146" s="129"/>
      <c r="CA146" s="129"/>
      <c r="CB146" s="129"/>
      <c r="CC146" s="129"/>
      <c r="CD146" s="129"/>
      <c r="CE146" s="129"/>
      <c r="CF146" s="129"/>
      <c r="CG146" s="129"/>
      <c r="CH146" s="129"/>
      <c r="CI146" s="129"/>
      <c r="CJ146" s="129"/>
      <c r="CK146" s="129"/>
      <c r="CL146" s="129"/>
      <c r="CM146" s="129"/>
      <c r="CN146" s="129"/>
      <c r="CO146" s="129"/>
      <c r="CP146" s="129"/>
      <c r="CQ146" s="129"/>
      <c r="CR146" s="129"/>
      <c r="CS146" s="129"/>
      <c r="CT146" s="129"/>
      <c r="CU146" s="129"/>
    </row>
    <row r="147" spans="2:99" s="120" customFormat="1">
      <c r="B147" s="228"/>
      <c r="C147" s="228"/>
      <c r="D147" s="3"/>
      <c r="E147" s="228"/>
      <c r="F147" s="228"/>
      <c r="G147" s="3"/>
      <c r="H147" s="228"/>
      <c r="I147" s="129"/>
      <c r="J147" s="129"/>
      <c r="K147" s="129"/>
      <c r="L147" s="129"/>
      <c r="M147" s="129"/>
      <c r="N147" s="129"/>
      <c r="O147" s="129"/>
      <c r="P147" s="129"/>
      <c r="Q147" s="129"/>
      <c r="R147" s="129"/>
      <c r="S147" s="129"/>
      <c r="T147" s="129"/>
      <c r="U147" s="129"/>
      <c r="V147" s="129"/>
      <c r="W147" s="129"/>
      <c r="X147" s="129"/>
      <c r="Y147" s="129"/>
      <c r="Z147" s="129"/>
      <c r="AA147" s="129"/>
      <c r="AB147" s="129"/>
      <c r="AC147" s="129"/>
      <c r="AD147" s="129"/>
      <c r="AE147" s="129"/>
      <c r="AF147" s="129"/>
      <c r="AG147" s="129"/>
      <c r="AH147" s="129"/>
      <c r="AI147" s="129"/>
      <c r="AJ147" s="129"/>
      <c r="AK147" s="129"/>
      <c r="AL147" s="129"/>
      <c r="AM147" s="129"/>
      <c r="AN147" s="129"/>
      <c r="AO147" s="129"/>
      <c r="AP147" s="129"/>
      <c r="AQ147" s="129"/>
      <c r="AR147" s="129"/>
      <c r="AS147" s="129"/>
      <c r="AT147" s="129"/>
      <c r="AU147" s="129"/>
      <c r="AV147" s="129"/>
      <c r="AW147" s="129"/>
      <c r="AX147" s="129"/>
      <c r="AY147" s="129"/>
      <c r="AZ147" s="129"/>
      <c r="BA147" s="129"/>
      <c r="BB147" s="129"/>
      <c r="BC147" s="129"/>
      <c r="BD147" s="129"/>
      <c r="BE147" s="129"/>
      <c r="BF147" s="129"/>
      <c r="BG147" s="129"/>
      <c r="BH147" s="129"/>
      <c r="BI147" s="129"/>
      <c r="BJ147" s="129"/>
      <c r="BK147" s="129"/>
      <c r="BL147" s="129"/>
      <c r="BM147" s="129"/>
      <c r="BN147" s="129"/>
      <c r="BO147" s="129"/>
      <c r="BP147" s="129"/>
      <c r="BQ147" s="129"/>
      <c r="BR147" s="129"/>
      <c r="BS147" s="129"/>
      <c r="BT147" s="129"/>
      <c r="BU147" s="129"/>
      <c r="BV147" s="129"/>
      <c r="BW147" s="129"/>
      <c r="BX147" s="129"/>
      <c r="BY147" s="129"/>
      <c r="BZ147" s="129"/>
      <c r="CA147" s="129"/>
      <c r="CB147" s="129"/>
      <c r="CC147" s="129"/>
      <c r="CD147" s="129"/>
      <c r="CE147" s="129"/>
      <c r="CF147" s="129"/>
      <c r="CG147" s="129"/>
      <c r="CH147" s="129"/>
      <c r="CI147" s="129"/>
      <c r="CJ147" s="129"/>
      <c r="CK147" s="129"/>
      <c r="CL147" s="129"/>
      <c r="CM147" s="129"/>
      <c r="CN147" s="129"/>
      <c r="CO147" s="129"/>
      <c r="CP147" s="129"/>
      <c r="CQ147" s="129"/>
      <c r="CR147" s="129"/>
      <c r="CS147" s="129"/>
      <c r="CT147" s="129"/>
      <c r="CU147" s="129"/>
    </row>
    <row r="148" spans="2:99" s="120" customFormat="1">
      <c r="B148" s="228"/>
      <c r="C148" s="228"/>
      <c r="D148" s="3"/>
      <c r="E148" s="228"/>
      <c r="F148" s="228"/>
      <c r="G148" s="3"/>
      <c r="H148" s="228"/>
      <c r="I148" s="129"/>
      <c r="J148" s="129"/>
      <c r="K148" s="129"/>
      <c r="L148" s="129"/>
      <c r="M148" s="129"/>
      <c r="N148" s="129"/>
      <c r="O148" s="129"/>
      <c r="P148" s="129"/>
      <c r="Q148" s="129"/>
      <c r="R148" s="129"/>
      <c r="S148" s="129"/>
      <c r="T148" s="129"/>
      <c r="U148" s="129"/>
      <c r="V148" s="129"/>
      <c r="W148" s="129"/>
      <c r="X148" s="129"/>
      <c r="Y148" s="129"/>
      <c r="Z148" s="129"/>
      <c r="AA148" s="129"/>
      <c r="AB148" s="129"/>
      <c r="AC148" s="129"/>
      <c r="AD148" s="129"/>
      <c r="AE148" s="129"/>
      <c r="AF148" s="129"/>
      <c r="AG148" s="129"/>
      <c r="AH148" s="129"/>
      <c r="AI148" s="129"/>
      <c r="AJ148" s="129"/>
      <c r="AK148" s="129"/>
      <c r="AL148" s="129"/>
      <c r="AM148" s="129"/>
      <c r="AN148" s="129"/>
      <c r="AO148" s="129"/>
      <c r="AP148" s="129"/>
      <c r="AQ148" s="129"/>
      <c r="AR148" s="129"/>
      <c r="AS148" s="129"/>
      <c r="AT148" s="129"/>
      <c r="AU148" s="129"/>
      <c r="AV148" s="129"/>
      <c r="AW148" s="129"/>
      <c r="AX148" s="129"/>
      <c r="AY148" s="129"/>
      <c r="AZ148" s="129"/>
      <c r="BA148" s="129"/>
      <c r="BB148" s="129"/>
      <c r="BC148" s="129"/>
      <c r="BD148" s="129"/>
      <c r="BE148" s="129"/>
      <c r="BF148" s="129"/>
      <c r="BG148" s="129"/>
      <c r="BH148" s="129"/>
      <c r="BI148" s="129"/>
      <c r="BJ148" s="129"/>
      <c r="BK148" s="129"/>
      <c r="BL148" s="129"/>
      <c r="BM148" s="129"/>
      <c r="BN148" s="129"/>
      <c r="BO148" s="129"/>
      <c r="BP148" s="129"/>
      <c r="BQ148" s="129"/>
      <c r="BR148" s="129"/>
      <c r="BS148" s="129"/>
      <c r="BT148" s="129"/>
      <c r="BU148" s="129"/>
      <c r="BV148" s="129"/>
      <c r="BW148" s="129"/>
      <c r="BX148" s="129"/>
      <c r="BY148" s="129"/>
      <c r="BZ148" s="129"/>
      <c r="CA148" s="129"/>
      <c r="CB148" s="129"/>
      <c r="CC148" s="129"/>
      <c r="CD148" s="129"/>
      <c r="CE148" s="129"/>
      <c r="CF148" s="129"/>
      <c r="CG148" s="129"/>
      <c r="CH148" s="129"/>
      <c r="CI148" s="129"/>
      <c r="CJ148" s="129"/>
      <c r="CK148" s="129"/>
      <c r="CL148" s="129"/>
      <c r="CM148" s="129"/>
      <c r="CN148" s="129"/>
      <c r="CO148" s="129"/>
      <c r="CP148" s="129"/>
      <c r="CQ148" s="129"/>
      <c r="CR148" s="129"/>
      <c r="CS148" s="129"/>
      <c r="CT148" s="129"/>
      <c r="CU148" s="129"/>
    </row>
    <row r="149" spans="2:99" s="120" customFormat="1">
      <c r="B149" s="228"/>
      <c r="C149" s="228"/>
      <c r="D149" s="3"/>
      <c r="E149" s="228"/>
      <c r="F149" s="228"/>
      <c r="G149" s="3"/>
      <c r="H149" s="228"/>
      <c r="I149" s="129"/>
      <c r="J149" s="129"/>
      <c r="K149" s="129"/>
      <c r="L149" s="129"/>
      <c r="M149" s="129"/>
      <c r="N149" s="129"/>
      <c r="O149" s="129"/>
      <c r="P149" s="129"/>
      <c r="Q149" s="129"/>
      <c r="R149" s="129"/>
      <c r="S149" s="129"/>
      <c r="T149" s="129"/>
      <c r="U149" s="129"/>
      <c r="V149" s="129"/>
      <c r="W149" s="129"/>
      <c r="X149" s="129"/>
      <c r="Y149" s="129"/>
      <c r="Z149" s="129"/>
      <c r="AA149" s="129"/>
      <c r="AB149" s="129"/>
      <c r="AC149" s="129"/>
      <c r="AD149" s="129"/>
      <c r="AE149" s="129"/>
      <c r="AF149" s="129"/>
      <c r="AG149" s="129"/>
      <c r="AH149" s="129"/>
      <c r="AI149" s="129"/>
      <c r="AJ149" s="129"/>
      <c r="AK149" s="129"/>
      <c r="AL149" s="129"/>
      <c r="AM149" s="129"/>
      <c r="AN149" s="129"/>
      <c r="AO149" s="129"/>
      <c r="AP149" s="129"/>
      <c r="AQ149" s="129"/>
      <c r="AR149" s="129"/>
      <c r="AS149" s="129"/>
      <c r="AT149" s="129"/>
      <c r="AU149" s="129"/>
      <c r="AV149" s="129"/>
      <c r="AW149" s="129"/>
      <c r="AX149" s="129"/>
      <c r="AY149" s="129"/>
      <c r="AZ149" s="129"/>
      <c r="BA149" s="129"/>
      <c r="BB149" s="129"/>
      <c r="BC149" s="129"/>
      <c r="BD149" s="129"/>
      <c r="BE149" s="129"/>
      <c r="BF149" s="129"/>
      <c r="BG149" s="129"/>
      <c r="BH149" s="129"/>
      <c r="BI149" s="129"/>
      <c r="BJ149" s="129"/>
      <c r="BK149" s="129"/>
      <c r="BL149" s="129"/>
      <c r="BM149" s="129"/>
      <c r="BN149" s="129"/>
      <c r="BO149" s="129"/>
      <c r="BP149" s="129"/>
      <c r="BQ149" s="129"/>
      <c r="BR149" s="129"/>
      <c r="BS149" s="129"/>
      <c r="BT149" s="129"/>
      <c r="BU149" s="129"/>
      <c r="BV149" s="129"/>
      <c r="BW149" s="129"/>
      <c r="BX149" s="129"/>
      <c r="BY149" s="129"/>
      <c r="BZ149" s="129"/>
      <c r="CA149" s="129"/>
      <c r="CB149" s="129"/>
      <c r="CC149" s="129"/>
      <c r="CD149" s="129"/>
      <c r="CE149" s="129"/>
      <c r="CF149" s="129"/>
      <c r="CG149" s="129"/>
      <c r="CH149" s="129"/>
      <c r="CI149" s="129"/>
      <c r="CJ149" s="129"/>
      <c r="CK149" s="129"/>
      <c r="CL149" s="129"/>
      <c r="CM149" s="129"/>
      <c r="CN149" s="129"/>
      <c r="CO149" s="129"/>
      <c r="CP149" s="129"/>
      <c r="CQ149" s="129"/>
      <c r="CR149" s="129"/>
      <c r="CS149" s="129"/>
      <c r="CT149" s="129"/>
      <c r="CU149" s="129"/>
    </row>
    <row r="150" spans="2:99" s="120" customFormat="1">
      <c r="B150" s="228"/>
      <c r="C150" s="228"/>
      <c r="D150" s="3"/>
      <c r="E150" s="228"/>
      <c r="F150" s="228"/>
      <c r="G150" s="3"/>
      <c r="H150" s="228"/>
      <c r="I150" s="129"/>
      <c r="J150" s="129"/>
      <c r="K150" s="129"/>
      <c r="L150" s="129"/>
      <c r="M150" s="129"/>
      <c r="N150" s="129"/>
      <c r="O150" s="129"/>
      <c r="P150" s="129"/>
      <c r="Q150" s="129"/>
      <c r="R150" s="129"/>
      <c r="S150" s="129"/>
      <c r="T150" s="129"/>
      <c r="U150" s="129"/>
      <c r="V150" s="129"/>
      <c r="W150" s="129"/>
      <c r="X150" s="129"/>
      <c r="Y150" s="129"/>
      <c r="Z150" s="129"/>
      <c r="AA150" s="129"/>
      <c r="AB150" s="129"/>
      <c r="AC150" s="129"/>
      <c r="AD150" s="129"/>
      <c r="AE150" s="129"/>
      <c r="AF150" s="129"/>
      <c r="AG150" s="129"/>
      <c r="AH150" s="129"/>
      <c r="AI150" s="129"/>
      <c r="AJ150" s="129"/>
      <c r="AK150" s="129"/>
      <c r="AL150" s="129"/>
      <c r="AM150" s="129"/>
      <c r="AN150" s="129"/>
      <c r="AO150" s="129"/>
      <c r="AP150" s="129"/>
      <c r="AQ150" s="129"/>
      <c r="AR150" s="129"/>
      <c r="AS150" s="129"/>
      <c r="AT150" s="129"/>
      <c r="AU150" s="129"/>
      <c r="AV150" s="129"/>
      <c r="AW150" s="129"/>
      <c r="AX150" s="129"/>
      <c r="AY150" s="129"/>
      <c r="AZ150" s="129"/>
      <c r="BA150" s="129"/>
      <c r="BB150" s="129"/>
      <c r="BC150" s="129"/>
      <c r="BD150" s="129"/>
      <c r="BE150" s="129"/>
      <c r="BF150" s="129"/>
      <c r="BG150" s="129"/>
      <c r="BH150" s="129"/>
      <c r="BI150" s="129"/>
      <c r="BJ150" s="129"/>
      <c r="BK150" s="129"/>
      <c r="BL150" s="129"/>
      <c r="BM150" s="129"/>
      <c r="BN150" s="129"/>
      <c r="BO150" s="129"/>
      <c r="BP150" s="129"/>
      <c r="BQ150" s="129"/>
      <c r="BR150" s="129"/>
      <c r="BS150" s="129"/>
      <c r="BT150" s="129"/>
      <c r="BU150" s="129"/>
      <c r="BV150" s="129"/>
      <c r="BW150" s="129"/>
      <c r="BX150" s="129"/>
      <c r="BY150" s="129"/>
      <c r="BZ150" s="129"/>
      <c r="CA150" s="129"/>
      <c r="CB150" s="129"/>
      <c r="CC150" s="129"/>
      <c r="CD150" s="129"/>
      <c r="CE150" s="129"/>
      <c r="CF150" s="129"/>
      <c r="CG150" s="129"/>
      <c r="CH150" s="129"/>
      <c r="CI150" s="129"/>
      <c r="CJ150" s="129"/>
      <c r="CK150" s="129"/>
      <c r="CL150" s="129"/>
      <c r="CM150" s="129"/>
      <c r="CN150" s="129"/>
      <c r="CO150" s="129"/>
      <c r="CP150" s="129"/>
      <c r="CQ150" s="129"/>
      <c r="CR150" s="129"/>
      <c r="CS150" s="129"/>
      <c r="CT150" s="129"/>
      <c r="CU150" s="129"/>
    </row>
    <row r="151" spans="2:99" s="120" customFormat="1">
      <c r="B151" s="228"/>
      <c r="C151" s="228"/>
      <c r="D151" s="3"/>
      <c r="E151" s="228"/>
      <c r="F151" s="228"/>
      <c r="G151" s="3"/>
      <c r="H151" s="228"/>
      <c r="I151" s="129"/>
      <c r="J151" s="129"/>
      <c r="K151" s="129"/>
      <c r="L151" s="129"/>
      <c r="M151" s="129"/>
      <c r="N151" s="129"/>
      <c r="O151" s="129"/>
      <c r="P151" s="129"/>
      <c r="Q151" s="129"/>
      <c r="R151" s="129"/>
      <c r="S151" s="129"/>
      <c r="T151" s="129"/>
      <c r="U151" s="129"/>
      <c r="V151" s="129"/>
      <c r="W151" s="129"/>
      <c r="X151" s="129"/>
      <c r="Y151" s="129"/>
      <c r="Z151" s="129"/>
      <c r="AA151" s="129"/>
      <c r="AB151" s="129"/>
      <c r="AC151" s="129"/>
      <c r="AD151" s="129"/>
      <c r="AE151" s="129"/>
      <c r="AF151" s="129"/>
      <c r="AG151" s="129"/>
      <c r="AH151" s="129"/>
      <c r="AI151" s="129"/>
      <c r="AJ151" s="129"/>
      <c r="AK151" s="129"/>
      <c r="AL151" s="129"/>
      <c r="AM151" s="129"/>
      <c r="AN151" s="129"/>
      <c r="AO151" s="129"/>
      <c r="AP151" s="129"/>
      <c r="AQ151" s="129"/>
      <c r="AR151" s="129"/>
      <c r="AS151" s="129"/>
      <c r="AT151" s="129"/>
      <c r="AU151" s="129"/>
      <c r="AV151" s="129"/>
      <c r="AW151" s="129"/>
      <c r="AX151" s="129"/>
      <c r="AY151" s="129"/>
      <c r="AZ151" s="129"/>
      <c r="BA151" s="129"/>
      <c r="BB151" s="129"/>
      <c r="BC151" s="129"/>
      <c r="BD151" s="129"/>
      <c r="BE151" s="129"/>
      <c r="BF151" s="129"/>
      <c r="BG151" s="129"/>
      <c r="BH151" s="129"/>
      <c r="BI151" s="129"/>
      <c r="BJ151" s="129"/>
      <c r="BK151" s="129"/>
      <c r="BL151" s="129"/>
      <c r="BM151" s="129"/>
      <c r="BN151" s="129"/>
      <c r="BO151" s="129"/>
      <c r="BP151" s="129"/>
      <c r="BQ151" s="129"/>
      <c r="BR151" s="129"/>
      <c r="BS151" s="129"/>
      <c r="BT151" s="129"/>
      <c r="BU151" s="129"/>
      <c r="BV151" s="129"/>
      <c r="BW151" s="129"/>
      <c r="BX151" s="129"/>
      <c r="BY151" s="129"/>
      <c r="BZ151" s="129"/>
      <c r="CA151" s="129"/>
      <c r="CB151" s="129"/>
      <c r="CC151" s="129"/>
      <c r="CD151" s="129"/>
      <c r="CE151" s="129"/>
      <c r="CF151" s="129"/>
      <c r="CG151" s="129"/>
      <c r="CH151" s="129"/>
      <c r="CI151" s="129"/>
      <c r="CJ151" s="129"/>
      <c r="CK151" s="129"/>
      <c r="CL151" s="129"/>
      <c r="CM151" s="129"/>
      <c r="CN151" s="129"/>
      <c r="CO151" s="129"/>
      <c r="CP151" s="129"/>
      <c r="CQ151" s="129"/>
      <c r="CR151" s="129"/>
      <c r="CS151" s="129"/>
      <c r="CT151" s="129"/>
      <c r="CU151" s="129"/>
    </row>
    <row r="152" spans="2:99" s="120" customFormat="1">
      <c r="B152" s="228"/>
      <c r="C152" s="228"/>
      <c r="D152" s="3"/>
      <c r="E152" s="228"/>
      <c r="F152" s="228"/>
      <c r="G152" s="3"/>
      <c r="H152" s="228"/>
      <c r="I152" s="129"/>
      <c r="J152" s="129"/>
      <c r="K152" s="129"/>
      <c r="L152" s="129"/>
      <c r="M152" s="129"/>
      <c r="N152" s="129"/>
      <c r="O152" s="129"/>
      <c r="P152" s="129"/>
      <c r="Q152" s="129"/>
      <c r="R152" s="129"/>
      <c r="S152" s="129"/>
      <c r="T152" s="129"/>
      <c r="U152" s="129"/>
      <c r="V152" s="129"/>
      <c r="W152" s="129"/>
      <c r="X152" s="129"/>
      <c r="Y152" s="129"/>
      <c r="Z152" s="129"/>
      <c r="AA152" s="129"/>
      <c r="AB152" s="129"/>
      <c r="AC152" s="129"/>
      <c r="AD152" s="129"/>
      <c r="AE152" s="129"/>
      <c r="AF152" s="129"/>
      <c r="AG152" s="129"/>
      <c r="AH152" s="129"/>
      <c r="AI152" s="129"/>
      <c r="AJ152" s="129"/>
      <c r="AK152" s="129"/>
      <c r="AL152" s="129"/>
      <c r="AM152" s="129"/>
      <c r="AN152" s="129"/>
      <c r="AO152" s="129"/>
      <c r="AP152" s="129"/>
      <c r="AQ152" s="129"/>
      <c r="AR152" s="129"/>
      <c r="AS152" s="129"/>
      <c r="AT152" s="129"/>
      <c r="AU152" s="129"/>
      <c r="AV152" s="129"/>
      <c r="AW152" s="129"/>
      <c r="AX152" s="129"/>
      <c r="AY152" s="129"/>
      <c r="AZ152" s="129"/>
      <c r="BA152" s="129"/>
      <c r="BB152" s="129"/>
      <c r="BC152" s="129"/>
      <c r="BD152" s="129"/>
      <c r="BE152" s="129"/>
      <c r="BF152" s="129"/>
      <c r="BG152" s="129"/>
      <c r="BH152" s="129"/>
      <c r="BI152" s="129"/>
      <c r="BJ152" s="129"/>
      <c r="BK152" s="129"/>
      <c r="BL152" s="129"/>
      <c r="BM152" s="129"/>
      <c r="BN152" s="129"/>
      <c r="BO152" s="129"/>
      <c r="BP152" s="129"/>
      <c r="BQ152" s="129"/>
      <c r="BR152" s="129"/>
      <c r="BS152" s="129"/>
      <c r="BT152" s="129"/>
      <c r="BU152" s="129"/>
      <c r="BV152" s="129"/>
      <c r="BW152" s="129"/>
      <c r="BX152" s="129"/>
      <c r="BY152" s="129"/>
      <c r="BZ152" s="129"/>
      <c r="CA152" s="129"/>
      <c r="CB152" s="129"/>
      <c r="CC152" s="129"/>
      <c r="CD152" s="129"/>
      <c r="CE152" s="129"/>
      <c r="CF152" s="129"/>
      <c r="CG152" s="129"/>
      <c r="CH152" s="129"/>
      <c r="CI152" s="129"/>
      <c r="CJ152" s="129"/>
      <c r="CK152" s="129"/>
      <c r="CL152" s="129"/>
      <c r="CM152" s="129"/>
      <c r="CN152" s="129"/>
      <c r="CO152" s="129"/>
      <c r="CP152" s="129"/>
      <c r="CQ152" s="129"/>
      <c r="CR152" s="129"/>
      <c r="CS152" s="129"/>
      <c r="CT152" s="129"/>
      <c r="CU152" s="129"/>
    </row>
    <row r="153" spans="2:99" s="120" customFormat="1">
      <c r="B153" s="228"/>
      <c r="C153" s="228"/>
      <c r="D153" s="3"/>
      <c r="E153" s="228"/>
      <c r="F153" s="228"/>
      <c r="G153" s="3"/>
      <c r="H153" s="228"/>
      <c r="I153" s="129"/>
      <c r="J153" s="129"/>
      <c r="K153" s="129"/>
      <c r="L153" s="129"/>
      <c r="M153" s="129"/>
      <c r="N153" s="129"/>
      <c r="O153" s="129"/>
      <c r="P153" s="129"/>
      <c r="Q153" s="129"/>
      <c r="R153" s="129"/>
      <c r="S153" s="129"/>
      <c r="T153" s="129"/>
      <c r="U153" s="129"/>
      <c r="V153" s="129"/>
      <c r="W153" s="129"/>
      <c r="X153" s="129"/>
      <c r="Y153" s="129"/>
      <c r="Z153" s="129"/>
      <c r="AA153" s="129"/>
      <c r="AB153" s="129"/>
      <c r="AC153" s="129"/>
      <c r="AD153" s="129"/>
      <c r="AE153" s="129"/>
      <c r="AF153" s="129"/>
      <c r="AG153" s="129"/>
      <c r="AH153" s="129"/>
      <c r="AI153" s="129"/>
      <c r="AJ153" s="129"/>
      <c r="AK153" s="129"/>
      <c r="AL153" s="129"/>
      <c r="AM153" s="129"/>
      <c r="AN153" s="129"/>
      <c r="AO153" s="129"/>
      <c r="AP153" s="129"/>
      <c r="AQ153" s="129"/>
      <c r="AR153" s="129"/>
      <c r="AS153" s="129"/>
      <c r="AT153" s="129"/>
      <c r="AU153" s="129"/>
      <c r="AV153" s="129"/>
      <c r="AW153" s="129"/>
      <c r="AX153" s="129"/>
      <c r="AY153" s="129"/>
      <c r="AZ153" s="129"/>
      <c r="BA153" s="129"/>
      <c r="BB153" s="129"/>
      <c r="BC153" s="129"/>
      <c r="BD153" s="129"/>
      <c r="BE153" s="129"/>
      <c r="BF153" s="129"/>
      <c r="BG153" s="129"/>
      <c r="BH153" s="129"/>
      <c r="BI153" s="129"/>
      <c r="BJ153" s="129"/>
      <c r="BK153" s="129"/>
      <c r="BL153" s="129"/>
      <c r="BM153" s="129"/>
      <c r="BN153" s="129"/>
      <c r="BO153" s="129"/>
      <c r="BP153" s="129"/>
      <c r="BQ153" s="129"/>
      <c r="BR153" s="129"/>
      <c r="BS153" s="129"/>
      <c r="BT153" s="129"/>
      <c r="BU153" s="129"/>
      <c r="BV153" s="129"/>
      <c r="BW153" s="129"/>
      <c r="BX153" s="129"/>
      <c r="BY153" s="129"/>
      <c r="BZ153" s="129"/>
      <c r="CA153" s="129"/>
      <c r="CB153" s="129"/>
      <c r="CC153" s="129"/>
      <c r="CD153" s="129"/>
      <c r="CE153" s="129"/>
      <c r="CF153" s="129"/>
      <c r="CG153" s="129"/>
      <c r="CH153" s="129"/>
      <c r="CI153" s="129"/>
      <c r="CJ153" s="129"/>
      <c r="CK153" s="129"/>
      <c r="CL153" s="129"/>
      <c r="CM153" s="129"/>
      <c r="CN153" s="129"/>
      <c r="CO153" s="129"/>
      <c r="CP153" s="129"/>
      <c r="CQ153" s="129"/>
      <c r="CR153" s="129"/>
      <c r="CS153" s="129"/>
      <c r="CT153" s="129"/>
      <c r="CU153" s="129"/>
    </row>
    <row r="154" spans="2:99" s="120" customFormat="1">
      <c r="B154" s="228"/>
      <c r="C154" s="228"/>
      <c r="D154" s="3"/>
      <c r="E154" s="228"/>
      <c r="F154" s="228"/>
      <c r="G154" s="3"/>
      <c r="H154" s="228"/>
      <c r="I154" s="129"/>
      <c r="J154" s="129"/>
      <c r="K154" s="129"/>
      <c r="L154" s="129"/>
      <c r="M154" s="129"/>
      <c r="N154" s="129"/>
      <c r="O154" s="129"/>
      <c r="P154" s="129"/>
      <c r="Q154" s="129"/>
      <c r="R154" s="129"/>
      <c r="S154" s="129"/>
      <c r="T154" s="129"/>
      <c r="U154" s="129"/>
      <c r="V154" s="129"/>
      <c r="W154" s="129"/>
      <c r="X154" s="129"/>
      <c r="Y154" s="129"/>
      <c r="Z154" s="129"/>
      <c r="AA154" s="129"/>
      <c r="AB154" s="129"/>
      <c r="AC154" s="129"/>
      <c r="AD154" s="129"/>
      <c r="AE154" s="129"/>
      <c r="AF154" s="129"/>
      <c r="AG154" s="129"/>
      <c r="AH154" s="129"/>
      <c r="AI154" s="129"/>
      <c r="AJ154" s="129"/>
      <c r="AK154" s="129"/>
      <c r="AL154" s="129"/>
      <c r="AM154" s="129"/>
      <c r="AN154" s="129"/>
      <c r="AO154" s="129"/>
      <c r="AP154" s="129"/>
      <c r="AQ154" s="129"/>
      <c r="AR154" s="129"/>
      <c r="AS154" s="129"/>
      <c r="AT154" s="129"/>
      <c r="AU154" s="129"/>
      <c r="AV154" s="129"/>
      <c r="AW154" s="129"/>
      <c r="AX154" s="129"/>
      <c r="AY154" s="129"/>
      <c r="AZ154" s="129"/>
      <c r="BA154" s="129"/>
      <c r="BB154" s="129"/>
      <c r="BC154" s="129"/>
      <c r="BD154" s="129"/>
      <c r="BE154" s="129"/>
      <c r="BF154" s="129"/>
      <c r="BG154" s="129"/>
      <c r="BH154" s="129"/>
      <c r="BI154" s="129"/>
      <c r="BJ154" s="129"/>
      <c r="BK154" s="129"/>
      <c r="BL154" s="129"/>
      <c r="BM154" s="129"/>
      <c r="BN154" s="129"/>
      <c r="BO154" s="129"/>
      <c r="BP154" s="129"/>
      <c r="BQ154" s="129"/>
      <c r="BR154" s="129"/>
      <c r="BS154" s="129"/>
      <c r="BT154" s="129"/>
      <c r="BU154" s="129"/>
      <c r="BV154" s="129"/>
      <c r="BW154" s="129"/>
      <c r="BX154" s="129"/>
      <c r="BY154" s="129"/>
      <c r="BZ154" s="129"/>
      <c r="CA154" s="129"/>
      <c r="CB154" s="129"/>
      <c r="CC154" s="129"/>
      <c r="CD154" s="129"/>
      <c r="CE154" s="129"/>
      <c r="CF154" s="129"/>
      <c r="CG154" s="129"/>
      <c r="CH154" s="129"/>
      <c r="CI154" s="129"/>
      <c r="CJ154" s="129"/>
      <c r="CK154" s="129"/>
      <c r="CL154" s="129"/>
      <c r="CM154" s="129"/>
      <c r="CN154" s="129"/>
      <c r="CO154" s="129"/>
      <c r="CP154" s="129"/>
      <c r="CQ154" s="129"/>
      <c r="CR154" s="129"/>
      <c r="CS154" s="129"/>
      <c r="CT154" s="129"/>
      <c r="CU154" s="129"/>
    </row>
    <row r="155" spans="2:99" s="120" customFormat="1">
      <c r="B155" s="228"/>
      <c r="C155" s="228"/>
      <c r="D155" s="3"/>
      <c r="E155" s="228"/>
      <c r="F155" s="228"/>
      <c r="G155" s="3"/>
      <c r="H155" s="228"/>
      <c r="I155" s="129"/>
      <c r="J155" s="129"/>
      <c r="K155" s="129"/>
      <c r="L155" s="129"/>
      <c r="M155" s="129"/>
      <c r="N155" s="129"/>
      <c r="O155" s="129"/>
      <c r="P155" s="129"/>
      <c r="Q155" s="129"/>
      <c r="R155" s="129"/>
      <c r="S155" s="129"/>
      <c r="T155" s="129"/>
      <c r="U155" s="129"/>
      <c r="V155" s="129"/>
      <c r="W155" s="129"/>
      <c r="X155" s="129"/>
      <c r="Y155" s="129"/>
      <c r="Z155" s="129"/>
      <c r="AA155" s="129"/>
      <c r="AB155" s="129"/>
      <c r="AC155" s="129"/>
      <c r="AD155" s="129"/>
      <c r="AE155" s="129"/>
      <c r="AF155" s="129"/>
      <c r="AG155" s="129"/>
      <c r="AH155" s="129"/>
      <c r="AI155" s="129"/>
      <c r="AJ155" s="129"/>
      <c r="AK155" s="129"/>
      <c r="AL155" s="129"/>
      <c r="AM155" s="129"/>
      <c r="AN155" s="129"/>
      <c r="AO155" s="129"/>
      <c r="AP155" s="129"/>
      <c r="AQ155" s="129"/>
      <c r="AR155" s="129"/>
      <c r="AS155" s="129"/>
      <c r="AT155" s="129"/>
      <c r="AU155" s="129"/>
      <c r="AV155" s="129"/>
      <c r="AW155" s="129"/>
      <c r="AX155" s="129"/>
      <c r="AY155" s="129"/>
      <c r="AZ155" s="129"/>
      <c r="BA155" s="129"/>
      <c r="BB155" s="129"/>
      <c r="BC155" s="129"/>
      <c r="BD155" s="129"/>
      <c r="BE155" s="129"/>
      <c r="BF155" s="129"/>
      <c r="BG155" s="129"/>
      <c r="BH155" s="129"/>
      <c r="BI155" s="129"/>
      <c r="BJ155" s="129"/>
      <c r="BK155" s="129"/>
      <c r="BL155" s="129"/>
      <c r="BM155" s="129"/>
      <c r="BN155" s="129"/>
      <c r="BO155" s="129"/>
      <c r="BP155" s="129"/>
      <c r="BQ155" s="129"/>
      <c r="BR155" s="129"/>
      <c r="BS155" s="129"/>
      <c r="BT155" s="129"/>
      <c r="BU155" s="129"/>
      <c r="BV155" s="129"/>
      <c r="BW155" s="129"/>
      <c r="BX155" s="129"/>
      <c r="BY155" s="129"/>
      <c r="BZ155" s="129"/>
      <c r="CA155" s="129"/>
      <c r="CB155" s="129"/>
      <c r="CC155" s="129"/>
      <c r="CD155" s="129"/>
      <c r="CE155" s="129"/>
      <c r="CF155" s="129"/>
      <c r="CG155" s="129"/>
      <c r="CH155" s="129"/>
      <c r="CI155" s="129"/>
      <c r="CJ155" s="129"/>
      <c r="CK155" s="129"/>
      <c r="CL155" s="129"/>
      <c r="CM155" s="129"/>
      <c r="CN155" s="129"/>
      <c r="CO155" s="129"/>
      <c r="CP155" s="129"/>
      <c r="CQ155" s="129"/>
      <c r="CR155" s="129"/>
      <c r="CS155" s="129"/>
      <c r="CT155" s="129"/>
      <c r="CU155" s="129"/>
    </row>
    <row r="156" spans="2:99" s="120" customFormat="1">
      <c r="B156" s="228"/>
      <c r="C156" s="228"/>
      <c r="D156" s="3"/>
      <c r="E156" s="228"/>
      <c r="F156" s="228"/>
      <c r="G156" s="3"/>
      <c r="H156" s="228"/>
      <c r="I156" s="129"/>
      <c r="J156" s="129"/>
      <c r="K156" s="129"/>
      <c r="L156" s="129"/>
      <c r="M156" s="129"/>
      <c r="N156" s="129"/>
      <c r="O156" s="129"/>
      <c r="P156" s="129"/>
      <c r="Q156" s="129"/>
      <c r="R156" s="129"/>
      <c r="S156" s="129"/>
      <c r="T156" s="129"/>
      <c r="U156" s="129"/>
      <c r="V156" s="129"/>
      <c r="W156" s="129"/>
      <c r="X156" s="129"/>
      <c r="Y156" s="129"/>
      <c r="Z156" s="129"/>
      <c r="AA156" s="129"/>
      <c r="AB156" s="129"/>
      <c r="AC156" s="129"/>
      <c r="AD156" s="129"/>
      <c r="AE156" s="129"/>
      <c r="AF156" s="129"/>
      <c r="AG156" s="129"/>
      <c r="AH156" s="129"/>
      <c r="AI156" s="129"/>
      <c r="AJ156" s="129"/>
      <c r="AK156" s="129"/>
      <c r="AL156" s="129"/>
      <c r="AM156" s="129"/>
      <c r="AN156" s="129"/>
      <c r="AO156" s="129"/>
      <c r="AP156" s="129"/>
      <c r="AQ156" s="129"/>
      <c r="AR156" s="129"/>
      <c r="AS156" s="129"/>
      <c r="AT156" s="129"/>
      <c r="AU156" s="129"/>
      <c r="AV156" s="129"/>
      <c r="AW156" s="129"/>
      <c r="AX156" s="129"/>
      <c r="AY156" s="129"/>
      <c r="AZ156" s="129"/>
      <c r="BA156" s="129"/>
      <c r="BB156" s="129"/>
      <c r="BC156" s="129"/>
      <c r="BD156" s="129"/>
      <c r="BE156" s="129"/>
      <c r="BF156" s="129"/>
      <c r="BG156" s="129"/>
      <c r="BH156" s="129"/>
      <c r="BI156" s="129"/>
      <c r="BJ156" s="129"/>
      <c r="BK156" s="129"/>
      <c r="BL156" s="129"/>
      <c r="BM156" s="129"/>
      <c r="BN156" s="129"/>
      <c r="BO156" s="129"/>
      <c r="BP156" s="129"/>
      <c r="BQ156" s="129"/>
      <c r="BR156" s="129"/>
      <c r="BS156" s="129"/>
      <c r="BT156" s="129"/>
      <c r="BU156" s="129"/>
      <c r="BV156" s="129"/>
      <c r="BW156" s="129"/>
      <c r="BX156" s="129"/>
      <c r="BY156" s="129"/>
      <c r="BZ156" s="129"/>
      <c r="CA156" s="129"/>
      <c r="CB156" s="129"/>
      <c r="CC156" s="129"/>
      <c r="CD156" s="129"/>
      <c r="CE156" s="129"/>
      <c r="CF156" s="129"/>
      <c r="CG156" s="129"/>
      <c r="CH156" s="129"/>
      <c r="CI156" s="129"/>
      <c r="CJ156" s="129"/>
      <c r="CK156" s="129"/>
      <c r="CL156" s="129"/>
      <c r="CM156" s="129"/>
      <c r="CN156" s="129"/>
      <c r="CO156" s="129"/>
      <c r="CP156" s="129"/>
      <c r="CQ156" s="129"/>
      <c r="CR156" s="129"/>
      <c r="CS156" s="129"/>
      <c r="CT156" s="129"/>
      <c r="CU156" s="129"/>
    </row>
    <row r="157" spans="2:99" s="120" customFormat="1">
      <c r="B157" s="228"/>
      <c r="C157" s="228"/>
      <c r="D157" s="3"/>
      <c r="E157" s="228"/>
      <c r="F157" s="228"/>
      <c r="G157" s="3"/>
      <c r="H157" s="228"/>
      <c r="I157" s="129"/>
      <c r="J157" s="129"/>
      <c r="K157" s="129"/>
      <c r="L157" s="129"/>
      <c r="M157" s="129"/>
      <c r="N157" s="129"/>
      <c r="O157" s="129"/>
      <c r="P157" s="129"/>
      <c r="Q157" s="129"/>
      <c r="R157" s="129"/>
      <c r="S157" s="129"/>
      <c r="T157" s="129"/>
      <c r="U157" s="129"/>
      <c r="V157" s="129"/>
      <c r="W157" s="129"/>
      <c r="X157" s="129"/>
      <c r="Y157" s="129"/>
      <c r="Z157" s="129"/>
      <c r="AA157" s="129"/>
      <c r="AB157" s="129"/>
      <c r="AC157" s="129"/>
      <c r="AD157" s="129"/>
      <c r="AE157" s="129"/>
      <c r="AF157" s="129"/>
      <c r="AG157" s="129"/>
      <c r="AH157" s="129"/>
      <c r="AI157" s="129"/>
      <c r="AJ157" s="129"/>
      <c r="AK157" s="129"/>
      <c r="AL157" s="129"/>
      <c r="AM157" s="129"/>
      <c r="AN157" s="129"/>
      <c r="AO157" s="129"/>
      <c r="AP157" s="129"/>
      <c r="AQ157" s="129"/>
      <c r="AR157" s="129"/>
      <c r="AS157" s="129"/>
      <c r="AT157" s="129"/>
      <c r="AU157" s="129"/>
      <c r="AV157" s="129"/>
      <c r="AW157" s="129"/>
      <c r="AX157" s="129"/>
      <c r="AY157" s="129"/>
      <c r="AZ157" s="129"/>
      <c r="BA157" s="129"/>
      <c r="BB157" s="129"/>
      <c r="BC157" s="129"/>
      <c r="BD157" s="129"/>
      <c r="BE157" s="129"/>
      <c r="BF157" s="129"/>
      <c r="BG157" s="129"/>
      <c r="BH157" s="129"/>
      <c r="BI157" s="129"/>
      <c r="BJ157" s="129"/>
      <c r="BK157" s="129"/>
      <c r="BL157" s="129"/>
      <c r="BM157" s="129"/>
      <c r="BN157" s="129"/>
      <c r="BO157" s="129"/>
      <c r="BP157" s="129"/>
      <c r="BQ157" s="129"/>
      <c r="BR157" s="129"/>
      <c r="BS157" s="129"/>
      <c r="BT157" s="129"/>
      <c r="BU157" s="129"/>
      <c r="BV157" s="129"/>
      <c r="BW157" s="129"/>
      <c r="BX157" s="129"/>
      <c r="BY157" s="129"/>
      <c r="BZ157" s="129"/>
      <c r="CA157" s="129"/>
      <c r="CB157" s="129"/>
      <c r="CC157" s="129"/>
      <c r="CD157" s="129"/>
      <c r="CE157" s="129"/>
      <c r="CF157" s="129"/>
      <c r="CG157" s="129"/>
      <c r="CH157" s="129"/>
      <c r="CI157" s="129"/>
      <c r="CJ157" s="129"/>
      <c r="CK157" s="129"/>
      <c r="CL157" s="129"/>
      <c r="CM157" s="129"/>
      <c r="CN157" s="129"/>
      <c r="CO157" s="129"/>
      <c r="CP157" s="129"/>
      <c r="CQ157" s="129"/>
      <c r="CR157" s="129"/>
      <c r="CS157" s="129"/>
      <c r="CT157" s="129"/>
      <c r="CU157" s="129"/>
    </row>
  </sheetData>
  <sheetProtection algorithmName="SHA-512" hashValue="hLkSYWpO5CNjVhdMfvlL5jg7U9XN1S62GapFPNTM0HAXMNnrw5WRioKs73HanB5gSrjr6sqlTLjLqhc8a1hkog==" saltValue="UCAyhY7Kvg3lpWmK8UrWSg==" spinCount="100000" sheet="1" objects="1" scenarios="1"/>
  <mergeCells count="9">
    <mergeCell ref="A4:A5"/>
    <mergeCell ref="D4:D5"/>
    <mergeCell ref="B4:C5"/>
    <mergeCell ref="A3:E3"/>
    <mergeCell ref="B6:C6"/>
    <mergeCell ref="B7:C7"/>
    <mergeCell ref="B8:C8"/>
    <mergeCell ref="B9:C9"/>
    <mergeCell ref="B10:C10"/>
  </mergeCells>
  <pageMargins left="0.51181102362204722" right="0.51181102362204722" top="0.78740157480314965" bottom="0.78740157480314965" header="0.31496062992125984" footer="0.31496062992125984"/>
  <pageSetup paperSize="9" scale="39" orientation="landscape" horizontalDpi="4294967295" verticalDpi="4294967295" r:id="rId1"/>
  <rowBreaks count="1" manualBreakCount="1">
    <brk id="1"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M110"/>
  <sheetViews>
    <sheetView showGridLines="0" zoomScale="85" zoomScaleNormal="85" zoomScaleSheetLayoutView="85" zoomScalePageLayoutView="85" workbookViewId="0">
      <pane ySplit="1" topLeftCell="A2" activePane="bottomLeft" state="frozen"/>
      <selection activeCell="Q146" sqref="Q146"/>
      <selection pane="bottomLeft" activeCell="A2" sqref="A2"/>
    </sheetView>
  </sheetViews>
  <sheetFormatPr defaultColWidth="8.6640625" defaultRowHeight="13.2"/>
  <cols>
    <col min="1" max="1" width="12.44140625" style="70" customWidth="1"/>
    <col min="2" max="2" width="72.5546875" style="70" customWidth="1"/>
    <col min="3" max="3" width="12.6640625" style="70" customWidth="1"/>
    <col min="4" max="4" width="13.5546875" style="86" customWidth="1"/>
    <col min="5" max="5" width="14.44140625" style="86" customWidth="1"/>
    <col min="6" max="6" width="15.109375" style="86" customWidth="1"/>
    <col min="7" max="7" width="13.109375" style="86" bestFit="1" customWidth="1"/>
    <col min="8" max="8" width="14.6640625" style="86" customWidth="1"/>
    <col min="9" max="9" width="13.33203125" style="86" customWidth="1"/>
    <col min="10" max="10" width="18.5546875" style="86" customWidth="1"/>
    <col min="11" max="12" width="8.6640625" style="86" customWidth="1"/>
    <col min="13" max="218" width="8.6640625" style="86"/>
    <col min="219" max="219" width="12.6640625" style="86" customWidth="1"/>
    <col min="220" max="220" width="60.33203125" style="86" customWidth="1"/>
    <col min="221" max="222" width="12.6640625" style="86" customWidth="1"/>
    <col min="223" max="223" width="12.33203125" style="86" bestFit="1" customWidth="1"/>
    <col min="224" max="224" width="15.6640625" style="86" customWidth="1"/>
    <col min="225" max="225" width="17.6640625" style="86" bestFit="1" customWidth="1"/>
    <col min="226" max="226" width="8.6640625" style="86"/>
    <col min="227" max="227" width="18" style="86" bestFit="1" customWidth="1"/>
    <col min="228" max="229" width="8.6640625" style="86"/>
    <col min="230" max="230" width="21.6640625" style="86" customWidth="1"/>
    <col min="231" max="231" width="9.44140625" style="86" bestFit="1" customWidth="1"/>
    <col min="232" max="474" width="8.6640625" style="86"/>
    <col min="475" max="475" width="12.6640625" style="86" customWidth="1"/>
    <col min="476" max="476" width="60.33203125" style="86" customWidth="1"/>
    <col min="477" max="478" width="12.6640625" style="86" customWidth="1"/>
    <col min="479" max="479" width="12.33203125" style="86" bestFit="1" customWidth="1"/>
    <col min="480" max="480" width="15.6640625" style="86" customWidth="1"/>
    <col min="481" max="481" width="17.6640625" style="86" bestFit="1" customWidth="1"/>
    <col min="482" max="482" width="8.6640625" style="86"/>
    <col min="483" max="483" width="18" style="86" bestFit="1" customWidth="1"/>
    <col min="484" max="485" width="8.6640625" style="86"/>
    <col min="486" max="486" width="21.6640625" style="86" customWidth="1"/>
    <col min="487" max="487" width="9.44140625" style="86" bestFit="1" customWidth="1"/>
    <col min="488" max="730" width="8.6640625" style="86"/>
    <col min="731" max="731" width="12.6640625" style="86" customWidth="1"/>
    <col min="732" max="732" width="60.33203125" style="86" customWidth="1"/>
    <col min="733" max="734" width="12.6640625" style="86" customWidth="1"/>
    <col min="735" max="735" width="12.33203125" style="86" bestFit="1" customWidth="1"/>
    <col min="736" max="736" width="15.6640625" style="86" customWidth="1"/>
    <col min="737" max="737" width="17.6640625" style="86" bestFit="1" customWidth="1"/>
    <col min="738" max="738" width="8.6640625" style="86"/>
    <col min="739" max="739" width="18" style="86" bestFit="1" customWidth="1"/>
    <col min="740" max="741" width="8.6640625" style="86"/>
    <col min="742" max="742" width="21.6640625" style="86" customWidth="1"/>
    <col min="743" max="743" width="9.44140625" style="86" bestFit="1" customWidth="1"/>
    <col min="744" max="986" width="8.6640625" style="86"/>
    <col min="987" max="987" width="12.6640625" style="86" customWidth="1"/>
    <col min="988" max="988" width="60.33203125" style="86" customWidth="1"/>
    <col min="989" max="990" width="12.6640625" style="86" customWidth="1"/>
    <col min="991" max="991" width="12.33203125" style="86" bestFit="1" customWidth="1"/>
    <col min="992" max="992" width="15.6640625" style="86" customWidth="1"/>
    <col min="993" max="993" width="17.6640625" style="86" bestFit="1" customWidth="1"/>
    <col min="994" max="994" width="8.6640625" style="86"/>
    <col min="995" max="995" width="18" style="86" bestFit="1" customWidth="1"/>
    <col min="996" max="997" width="8.6640625" style="86"/>
    <col min="998" max="998" width="21.6640625" style="86" customWidth="1"/>
    <col min="999" max="999" width="9.44140625" style="86" bestFit="1" customWidth="1"/>
    <col min="1000" max="1242" width="8.6640625" style="86"/>
    <col min="1243" max="1243" width="12.6640625" style="86" customWidth="1"/>
    <col min="1244" max="1244" width="60.33203125" style="86" customWidth="1"/>
    <col min="1245" max="1246" width="12.6640625" style="86" customWidth="1"/>
    <col min="1247" max="1247" width="12.33203125" style="86" bestFit="1" customWidth="1"/>
    <col min="1248" max="1248" width="15.6640625" style="86" customWidth="1"/>
    <col min="1249" max="1249" width="17.6640625" style="86" bestFit="1" customWidth="1"/>
    <col min="1250" max="1250" width="8.6640625" style="86"/>
    <col min="1251" max="1251" width="18" style="86" bestFit="1" customWidth="1"/>
    <col min="1252" max="1253" width="8.6640625" style="86"/>
    <col min="1254" max="1254" width="21.6640625" style="86" customWidth="1"/>
    <col min="1255" max="1255" width="9.44140625" style="86" bestFit="1" customWidth="1"/>
    <col min="1256" max="1498" width="8.6640625" style="86"/>
    <col min="1499" max="1499" width="12.6640625" style="86" customWidth="1"/>
    <col min="1500" max="1500" width="60.33203125" style="86" customWidth="1"/>
    <col min="1501" max="1502" width="12.6640625" style="86" customWidth="1"/>
    <col min="1503" max="1503" width="12.33203125" style="86" bestFit="1" customWidth="1"/>
    <col min="1504" max="1504" width="15.6640625" style="86" customWidth="1"/>
    <col min="1505" max="1505" width="17.6640625" style="86" bestFit="1" customWidth="1"/>
    <col min="1506" max="1506" width="8.6640625" style="86"/>
    <col min="1507" max="1507" width="18" style="86" bestFit="1" customWidth="1"/>
    <col min="1508" max="1509" width="8.6640625" style="86"/>
    <col min="1510" max="1510" width="21.6640625" style="86" customWidth="1"/>
    <col min="1511" max="1511" width="9.44140625" style="86" bestFit="1" customWidth="1"/>
    <col min="1512" max="1754" width="8.6640625" style="86"/>
    <col min="1755" max="1755" width="12.6640625" style="86" customWidth="1"/>
    <col min="1756" max="1756" width="60.33203125" style="86" customWidth="1"/>
    <col min="1757" max="1758" width="12.6640625" style="86" customWidth="1"/>
    <col min="1759" max="1759" width="12.33203125" style="86" bestFit="1" customWidth="1"/>
    <col min="1760" max="1760" width="15.6640625" style="86" customWidth="1"/>
    <col min="1761" max="1761" width="17.6640625" style="86" bestFit="1" customWidth="1"/>
    <col min="1762" max="1762" width="8.6640625" style="86"/>
    <col min="1763" max="1763" width="18" style="86" bestFit="1" customWidth="1"/>
    <col min="1764" max="1765" width="8.6640625" style="86"/>
    <col min="1766" max="1766" width="21.6640625" style="86" customWidth="1"/>
    <col min="1767" max="1767" width="9.44140625" style="86" bestFit="1" customWidth="1"/>
    <col min="1768" max="2010" width="8.6640625" style="86"/>
    <col min="2011" max="2011" width="12.6640625" style="86" customWidth="1"/>
    <col min="2012" max="2012" width="60.33203125" style="86" customWidth="1"/>
    <col min="2013" max="2014" width="12.6640625" style="86" customWidth="1"/>
    <col min="2015" max="2015" width="12.33203125" style="86" bestFit="1" customWidth="1"/>
    <col min="2016" max="2016" width="15.6640625" style="86" customWidth="1"/>
    <col min="2017" max="2017" width="17.6640625" style="86" bestFit="1" customWidth="1"/>
    <col min="2018" max="2018" width="8.6640625" style="86"/>
    <col min="2019" max="2019" width="18" style="86" bestFit="1" customWidth="1"/>
    <col min="2020" max="2021" width="8.6640625" style="86"/>
    <col min="2022" max="2022" width="21.6640625" style="86" customWidth="1"/>
    <col min="2023" max="2023" width="9.44140625" style="86" bestFit="1" customWidth="1"/>
    <col min="2024" max="2266" width="8.6640625" style="86"/>
    <col min="2267" max="2267" width="12.6640625" style="86" customWidth="1"/>
    <col min="2268" max="2268" width="60.33203125" style="86" customWidth="1"/>
    <col min="2269" max="2270" width="12.6640625" style="86" customWidth="1"/>
    <col min="2271" max="2271" width="12.33203125" style="86" bestFit="1" customWidth="1"/>
    <col min="2272" max="2272" width="15.6640625" style="86" customWidth="1"/>
    <col min="2273" max="2273" width="17.6640625" style="86" bestFit="1" customWidth="1"/>
    <col min="2274" max="2274" width="8.6640625" style="86"/>
    <col min="2275" max="2275" width="18" style="86" bestFit="1" customWidth="1"/>
    <col min="2276" max="2277" width="8.6640625" style="86"/>
    <col min="2278" max="2278" width="21.6640625" style="86" customWidth="1"/>
    <col min="2279" max="2279" width="9.44140625" style="86" bestFit="1" customWidth="1"/>
    <col min="2280" max="2522" width="8.6640625" style="86"/>
    <col min="2523" max="2523" width="12.6640625" style="86" customWidth="1"/>
    <col min="2524" max="2524" width="60.33203125" style="86" customWidth="1"/>
    <col min="2525" max="2526" width="12.6640625" style="86" customWidth="1"/>
    <col min="2527" max="2527" width="12.33203125" style="86" bestFit="1" customWidth="1"/>
    <col min="2528" max="2528" width="15.6640625" style="86" customWidth="1"/>
    <col min="2529" max="2529" width="17.6640625" style="86" bestFit="1" customWidth="1"/>
    <col min="2530" max="2530" width="8.6640625" style="86"/>
    <col min="2531" max="2531" width="18" style="86" bestFit="1" customWidth="1"/>
    <col min="2532" max="2533" width="8.6640625" style="86"/>
    <col min="2534" max="2534" width="21.6640625" style="86" customWidth="1"/>
    <col min="2535" max="2535" width="9.44140625" style="86" bestFit="1" customWidth="1"/>
    <col min="2536" max="2778" width="8.6640625" style="86"/>
    <col min="2779" max="2779" width="12.6640625" style="86" customWidth="1"/>
    <col min="2780" max="2780" width="60.33203125" style="86" customWidth="1"/>
    <col min="2781" max="2782" width="12.6640625" style="86" customWidth="1"/>
    <col min="2783" max="2783" width="12.33203125" style="86" bestFit="1" customWidth="1"/>
    <col min="2784" max="2784" width="15.6640625" style="86" customWidth="1"/>
    <col min="2785" max="2785" width="17.6640625" style="86" bestFit="1" customWidth="1"/>
    <col min="2786" max="2786" width="8.6640625" style="86"/>
    <col min="2787" max="2787" width="18" style="86" bestFit="1" customWidth="1"/>
    <col min="2788" max="2789" width="8.6640625" style="86"/>
    <col min="2790" max="2790" width="21.6640625" style="86" customWidth="1"/>
    <col min="2791" max="2791" width="9.44140625" style="86" bestFit="1" customWidth="1"/>
    <col min="2792" max="3034" width="8.6640625" style="86"/>
    <col min="3035" max="3035" width="12.6640625" style="86" customWidth="1"/>
    <col min="3036" max="3036" width="60.33203125" style="86" customWidth="1"/>
    <col min="3037" max="3038" width="12.6640625" style="86" customWidth="1"/>
    <col min="3039" max="3039" width="12.33203125" style="86" bestFit="1" customWidth="1"/>
    <col min="3040" max="3040" width="15.6640625" style="86" customWidth="1"/>
    <col min="3041" max="3041" width="17.6640625" style="86" bestFit="1" customWidth="1"/>
    <col min="3042" max="3042" width="8.6640625" style="86"/>
    <col min="3043" max="3043" width="18" style="86" bestFit="1" customWidth="1"/>
    <col min="3044" max="3045" width="8.6640625" style="86"/>
    <col min="3046" max="3046" width="21.6640625" style="86" customWidth="1"/>
    <col min="3047" max="3047" width="9.44140625" style="86" bestFit="1" customWidth="1"/>
    <col min="3048" max="3290" width="8.6640625" style="86"/>
    <col min="3291" max="3291" width="12.6640625" style="86" customWidth="1"/>
    <col min="3292" max="3292" width="60.33203125" style="86" customWidth="1"/>
    <col min="3293" max="3294" width="12.6640625" style="86" customWidth="1"/>
    <col min="3295" max="3295" width="12.33203125" style="86" bestFit="1" customWidth="1"/>
    <col min="3296" max="3296" width="15.6640625" style="86" customWidth="1"/>
    <col min="3297" max="3297" width="17.6640625" style="86" bestFit="1" customWidth="1"/>
    <col min="3298" max="3298" width="8.6640625" style="86"/>
    <col min="3299" max="3299" width="18" style="86" bestFit="1" customWidth="1"/>
    <col min="3300" max="3301" width="8.6640625" style="86"/>
    <col min="3302" max="3302" width="21.6640625" style="86" customWidth="1"/>
    <col min="3303" max="3303" width="9.44140625" style="86" bestFit="1" customWidth="1"/>
    <col min="3304" max="3546" width="8.6640625" style="86"/>
    <col min="3547" max="3547" width="12.6640625" style="86" customWidth="1"/>
    <col min="3548" max="3548" width="60.33203125" style="86" customWidth="1"/>
    <col min="3549" max="3550" width="12.6640625" style="86" customWidth="1"/>
    <col min="3551" max="3551" width="12.33203125" style="86" bestFit="1" customWidth="1"/>
    <col min="3552" max="3552" width="15.6640625" style="86" customWidth="1"/>
    <col min="3553" max="3553" width="17.6640625" style="86" bestFit="1" customWidth="1"/>
    <col min="3554" max="3554" width="8.6640625" style="86"/>
    <col min="3555" max="3555" width="18" style="86" bestFit="1" customWidth="1"/>
    <col min="3556" max="3557" width="8.6640625" style="86"/>
    <col min="3558" max="3558" width="21.6640625" style="86" customWidth="1"/>
    <col min="3559" max="3559" width="9.44140625" style="86" bestFit="1" customWidth="1"/>
    <col min="3560" max="3802" width="8.6640625" style="86"/>
    <col min="3803" max="3803" width="12.6640625" style="86" customWidth="1"/>
    <col min="3804" max="3804" width="60.33203125" style="86" customWidth="1"/>
    <col min="3805" max="3806" width="12.6640625" style="86" customWidth="1"/>
    <col min="3807" max="3807" width="12.33203125" style="86" bestFit="1" customWidth="1"/>
    <col min="3808" max="3808" width="15.6640625" style="86" customWidth="1"/>
    <col min="3809" max="3809" width="17.6640625" style="86" bestFit="1" customWidth="1"/>
    <col min="3810" max="3810" width="8.6640625" style="86"/>
    <col min="3811" max="3811" width="18" style="86" bestFit="1" customWidth="1"/>
    <col min="3812" max="3813" width="8.6640625" style="86"/>
    <col min="3814" max="3814" width="21.6640625" style="86" customWidth="1"/>
    <col min="3815" max="3815" width="9.44140625" style="86" bestFit="1" customWidth="1"/>
    <col min="3816" max="4058" width="8.6640625" style="86"/>
    <col min="4059" max="4059" width="12.6640625" style="86" customWidth="1"/>
    <col min="4060" max="4060" width="60.33203125" style="86" customWidth="1"/>
    <col min="4061" max="4062" width="12.6640625" style="86" customWidth="1"/>
    <col min="4063" max="4063" width="12.33203125" style="86" bestFit="1" customWidth="1"/>
    <col min="4064" max="4064" width="15.6640625" style="86" customWidth="1"/>
    <col min="4065" max="4065" width="17.6640625" style="86" bestFit="1" customWidth="1"/>
    <col min="4066" max="4066" width="8.6640625" style="86"/>
    <col min="4067" max="4067" width="18" style="86" bestFit="1" customWidth="1"/>
    <col min="4068" max="4069" width="8.6640625" style="86"/>
    <col min="4070" max="4070" width="21.6640625" style="86" customWidth="1"/>
    <col min="4071" max="4071" width="9.44140625" style="86" bestFit="1" customWidth="1"/>
    <col min="4072" max="4314" width="8.6640625" style="86"/>
    <col min="4315" max="4315" width="12.6640625" style="86" customWidth="1"/>
    <col min="4316" max="4316" width="60.33203125" style="86" customWidth="1"/>
    <col min="4317" max="4318" width="12.6640625" style="86" customWidth="1"/>
    <col min="4319" max="4319" width="12.33203125" style="86" bestFit="1" customWidth="1"/>
    <col min="4320" max="4320" width="15.6640625" style="86" customWidth="1"/>
    <col min="4321" max="4321" width="17.6640625" style="86" bestFit="1" customWidth="1"/>
    <col min="4322" max="4322" width="8.6640625" style="86"/>
    <col min="4323" max="4323" width="18" style="86" bestFit="1" customWidth="1"/>
    <col min="4324" max="4325" width="8.6640625" style="86"/>
    <col min="4326" max="4326" width="21.6640625" style="86" customWidth="1"/>
    <col min="4327" max="4327" width="9.44140625" style="86" bestFit="1" customWidth="1"/>
    <col min="4328" max="4570" width="8.6640625" style="86"/>
    <col min="4571" max="4571" width="12.6640625" style="86" customWidth="1"/>
    <col min="4572" max="4572" width="60.33203125" style="86" customWidth="1"/>
    <col min="4573" max="4574" width="12.6640625" style="86" customWidth="1"/>
    <col min="4575" max="4575" width="12.33203125" style="86" bestFit="1" customWidth="1"/>
    <col min="4576" max="4576" width="15.6640625" style="86" customWidth="1"/>
    <col min="4577" max="4577" width="17.6640625" style="86" bestFit="1" customWidth="1"/>
    <col min="4578" max="4578" width="8.6640625" style="86"/>
    <col min="4579" max="4579" width="18" style="86" bestFit="1" customWidth="1"/>
    <col min="4580" max="4581" width="8.6640625" style="86"/>
    <col min="4582" max="4582" width="21.6640625" style="86" customWidth="1"/>
    <col min="4583" max="4583" width="9.44140625" style="86" bestFit="1" customWidth="1"/>
    <col min="4584" max="4826" width="8.6640625" style="86"/>
    <col min="4827" max="4827" width="12.6640625" style="86" customWidth="1"/>
    <col min="4828" max="4828" width="60.33203125" style="86" customWidth="1"/>
    <col min="4829" max="4830" width="12.6640625" style="86" customWidth="1"/>
    <col min="4831" max="4831" width="12.33203125" style="86" bestFit="1" customWidth="1"/>
    <col min="4832" max="4832" width="15.6640625" style="86" customWidth="1"/>
    <col min="4833" max="4833" width="17.6640625" style="86" bestFit="1" customWidth="1"/>
    <col min="4834" max="4834" width="8.6640625" style="86"/>
    <col min="4835" max="4835" width="18" style="86" bestFit="1" customWidth="1"/>
    <col min="4836" max="4837" width="8.6640625" style="86"/>
    <col min="4838" max="4838" width="21.6640625" style="86" customWidth="1"/>
    <col min="4839" max="4839" width="9.44140625" style="86" bestFit="1" customWidth="1"/>
    <col min="4840" max="5082" width="8.6640625" style="86"/>
    <col min="5083" max="5083" width="12.6640625" style="86" customWidth="1"/>
    <col min="5084" max="5084" width="60.33203125" style="86" customWidth="1"/>
    <col min="5085" max="5086" width="12.6640625" style="86" customWidth="1"/>
    <col min="5087" max="5087" width="12.33203125" style="86" bestFit="1" customWidth="1"/>
    <col min="5088" max="5088" width="15.6640625" style="86" customWidth="1"/>
    <col min="5089" max="5089" width="17.6640625" style="86" bestFit="1" customWidth="1"/>
    <col min="5090" max="5090" width="8.6640625" style="86"/>
    <col min="5091" max="5091" width="18" style="86" bestFit="1" customWidth="1"/>
    <col min="5092" max="5093" width="8.6640625" style="86"/>
    <col min="5094" max="5094" width="21.6640625" style="86" customWidth="1"/>
    <col min="5095" max="5095" width="9.44140625" style="86" bestFit="1" customWidth="1"/>
    <col min="5096" max="5338" width="8.6640625" style="86"/>
    <col min="5339" max="5339" width="12.6640625" style="86" customWidth="1"/>
    <col min="5340" max="5340" width="60.33203125" style="86" customWidth="1"/>
    <col min="5341" max="5342" width="12.6640625" style="86" customWidth="1"/>
    <col min="5343" max="5343" width="12.33203125" style="86" bestFit="1" customWidth="1"/>
    <col min="5344" max="5344" width="15.6640625" style="86" customWidth="1"/>
    <col min="5345" max="5345" width="17.6640625" style="86" bestFit="1" customWidth="1"/>
    <col min="5346" max="5346" width="8.6640625" style="86"/>
    <col min="5347" max="5347" width="18" style="86" bestFit="1" customWidth="1"/>
    <col min="5348" max="5349" width="8.6640625" style="86"/>
    <col min="5350" max="5350" width="21.6640625" style="86" customWidth="1"/>
    <col min="5351" max="5351" width="9.44140625" style="86" bestFit="1" customWidth="1"/>
    <col min="5352" max="5594" width="8.6640625" style="86"/>
    <col min="5595" max="5595" width="12.6640625" style="86" customWidth="1"/>
    <col min="5596" max="5596" width="60.33203125" style="86" customWidth="1"/>
    <col min="5597" max="5598" width="12.6640625" style="86" customWidth="1"/>
    <col min="5599" max="5599" width="12.33203125" style="86" bestFit="1" customWidth="1"/>
    <col min="5600" max="5600" width="15.6640625" style="86" customWidth="1"/>
    <col min="5601" max="5601" width="17.6640625" style="86" bestFit="1" customWidth="1"/>
    <col min="5602" max="5602" width="8.6640625" style="86"/>
    <col min="5603" max="5603" width="18" style="86" bestFit="1" customWidth="1"/>
    <col min="5604" max="5605" width="8.6640625" style="86"/>
    <col min="5606" max="5606" width="21.6640625" style="86" customWidth="1"/>
    <col min="5607" max="5607" width="9.44140625" style="86" bestFit="1" customWidth="1"/>
    <col min="5608" max="5850" width="8.6640625" style="86"/>
    <col min="5851" max="5851" width="12.6640625" style="86" customWidth="1"/>
    <col min="5852" max="5852" width="60.33203125" style="86" customWidth="1"/>
    <col min="5853" max="5854" width="12.6640625" style="86" customWidth="1"/>
    <col min="5855" max="5855" width="12.33203125" style="86" bestFit="1" customWidth="1"/>
    <col min="5856" max="5856" width="15.6640625" style="86" customWidth="1"/>
    <col min="5857" max="5857" width="17.6640625" style="86" bestFit="1" customWidth="1"/>
    <col min="5858" max="5858" width="8.6640625" style="86"/>
    <col min="5859" max="5859" width="18" style="86" bestFit="1" customWidth="1"/>
    <col min="5860" max="5861" width="8.6640625" style="86"/>
    <col min="5862" max="5862" width="21.6640625" style="86" customWidth="1"/>
    <col min="5863" max="5863" width="9.44140625" style="86" bestFit="1" customWidth="1"/>
    <col min="5864" max="6106" width="8.6640625" style="86"/>
    <col min="6107" max="6107" width="12.6640625" style="86" customWidth="1"/>
    <col min="6108" max="6108" width="60.33203125" style="86" customWidth="1"/>
    <col min="6109" max="6110" width="12.6640625" style="86" customWidth="1"/>
    <col min="6111" max="6111" width="12.33203125" style="86" bestFit="1" customWidth="1"/>
    <col min="6112" max="6112" width="15.6640625" style="86" customWidth="1"/>
    <col min="6113" max="6113" width="17.6640625" style="86" bestFit="1" customWidth="1"/>
    <col min="6114" max="6114" width="8.6640625" style="86"/>
    <col min="6115" max="6115" width="18" style="86" bestFit="1" customWidth="1"/>
    <col min="6116" max="6117" width="8.6640625" style="86"/>
    <col min="6118" max="6118" width="21.6640625" style="86" customWidth="1"/>
    <col min="6119" max="6119" width="9.44140625" style="86" bestFit="1" customWidth="1"/>
    <col min="6120" max="6362" width="8.6640625" style="86"/>
    <col min="6363" max="6363" width="12.6640625" style="86" customWidth="1"/>
    <col min="6364" max="6364" width="60.33203125" style="86" customWidth="1"/>
    <col min="6365" max="6366" width="12.6640625" style="86" customWidth="1"/>
    <col min="6367" max="6367" width="12.33203125" style="86" bestFit="1" customWidth="1"/>
    <col min="6368" max="6368" width="15.6640625" style="86" customWidth="1"/>
    <col min="6369" max="6369" width="17.6640625" style="86" bestFit="1" customWidth="1"/>
    <col min="6370" max="6370" width="8.6640625" style="86"/>
    <col min="6371" max="6371" width="18" style="86" bestFit="1" customWidth="1"/>
    <col min="6372" max="6373" width="8.6640625" style="86"/>
    <col min="6374" max="6374" width="21.6640625" style="86" customWidth="1"/>
    <col min="6375" max="6375" width="9.44140625" style="86" bestFit="1" customWidth="1"/>
    <col min="6376" max="6618" width="8.6640625" style="86"/>
    <col min="6619" max="6619" width="12.6640625" style="86" customWidth="1"/>
    <col min="6620" max="6620" width="60.33203125" style="86" customWidth="1"/>
    <col min="6621" max="6622" width="12.6640625" style="86" customWidth="1"/>
    <col min="6623" max="6623" width="12.33203125" style="86" bestFit="1" customWidth="1"/>
    <col min="6624" max="6624" width="15.6640625" style="86" customWidth="1"/>
    <col min="6625" max="6625" width="17.6640625" style="86" bestFit="1" customWidth="1"/>
    <col min="6626" max="6626" width="8.6640625" style="86"/>
    <col min="6627" max="6627" width="18" style="86" bestFit="1" customWidth="1"/>
    <col min="6628" max="6629" width="8.6640625" style="86"/>
    <col min="6630" max="6630" width="21.6640625" style="86" customWidth="1"/>
    <col min="6631" max="6631" width="9.44140625" style="86" bestFit="1" customWidth="1"/>
    <col min="6632" max="6874" width="8.6640625" style="86"/>
    <col min="6875" max="6875" width="12.6640625" style="86" customWidth="1"/>
    <col min="6876" max="6876" width="60.33203125" style="86" customWidth="1"/>
    <col min="6877" max="6878" width="12.6640625" style="86" customWidth="1"/>
    <col min="6879" max="6879" width="12.33203125" style="86" bestFit="1" customWidth="1"/>
    <col min="6880" max="6880" width="15.6640625" style="86" customWidth="1"/>
    <col min="6881" max="6881" width="17.6640625" style="86" bestFit="1" customWidth="1"/>
    <col min="6882" max="6882" width="8.6640625" style="86"/>
    <col min="6883" max="6883" width="18" style="86" bestFit="1" customWidth="1"/>
    <col min="6884" max="6885" width="8.6640625" style="86"/>
    <col min="6886" max="6886" width="21.6640625" style="86" customWidth="1"/>
    <col min="6887" max="6887" width="9.44140625" style="86" bestFit="1" customWidth="1"/>
    <col min="6888" max="7130" width="8.6640625" style="86"/>
    <col min="7131" max="7131" width="12.6640625" style="86" customWidth="1"/>
    <col min="7132" max="7132" width="60.33203125" style="86" customWidth="1"/>
    <col min="7133" max="7134" width="12.6640625" style="86" customWidth="1"/>
    <col min="7135" max="7135" width="12.33203125" style="86" bestFit="1" customWidth="1"/>
    <col min="7136" max="7136" width="15.6640625" style="86" customWidth="1"/>
    <col min="7137" max="7137" width="17.6640625" style="86" bestFit="1" customWidth="1"/>
    <col min="7138" max="7138" width="8.6640625" style="86"/>
    <col min="7139" max="7139" width="18" style="86" bestFit="1" customWidth="1"/>
    <col min="7140" max="7141" width="8.6640625" style="86"/>
    <col min="7142" max="7142" width="21.6640625" style="86" customWidth="1"/>
    <col min="7143" max="7143" width="9.44140625" style="86" bestFit="1" customWidth="1"/>
    <col min="7144" max="7386" width="8.6640625" style="86"/>
    <col min="7387" max="7387" width="12.6640625" style="86" customWidth="1"/>
    <col min="7388" max="7388" width="60.33203125" style="86" customWidth="1"/>
    <col min="7389" max="7390" width="12.6640625" style="86" customWidth="1"/>
    <col min="7391" max="7391" width="12.33203125" style="86" bestFit="1" customWidth="1"/>
    <col min="7392" max="7392" width="15.6640625" style="86" customWidth="1"/>
    <col min="7393" max="7393" width="17.6640625" style="86" bestFit="1" customWidth="1"/>
    <col min="7394" max="7394" width="8.6640625" style="86"/>
    <col min="7395" max="7395" width="18" style="86" bestFit="1" customWidth="1"/>
    <col min="7396" max="7397" width="8.6640625" style="86"/>
    <col min="7398" max="7398" width="21.6640625" style="86" customWidth="1"/>
    <col min="7399" max="7399" width="9.44140625" style="86" bestFit="1" customWidth="1"/>
    <col min="7400" max="7642" width="8.6640625" style="86"/>
    <col min="7643" max="7643" width="12.6640625" style="86" customWidth="1"/>
    <col min="7644" max="7644" width="60.33203125" style="86" customWidth="1"/>
    <col min="7645" max="7646" width="12.6640625" style="86" customWidth="1"/>
    <col min="7647" max="7647" width="12.33203125" style="86" bestFit="1" customWidth="1"/>
    <col min="7648" max="7648" width="15.6640625" style="86" customWidth="1"/>
    <col min="7649" max="7649" width="17.6640625" style="86" bestFit="1" customWidth="1"/>
    <col min="7650" max="7650" width="8.6640625" style="86"/>
    <col min="7651" max="7651" width="18" style="86" bestFit="1" customWidth="1"/>
    <col min="7652" max="7653" width="8.6640625" style="86"/>
    <col min="7654" max="7654" width="21.6640625" style="86" customWidth="1"/>
    <col min="7655" max="7655" width="9.44140625" style="86" bestFit="1" customWidth="1"/>
    <col min="7656" max="7898" width="8.6640625" style="86"/>
    <col min="7899" max="7899" width="12.6640625" style="86" customWidth="1"/>
    <col min="7900" max="7900" width="60.33203125" style="86" customWidth="1"/>
    <col min="7901" max="7902" width="12.6640625" style="86" customWidth="1"/>
    <col min="7903" max="7903" width="12.33203125" style="86" bestFit="1" customWidth="1"/>
    <col min="7904" max="7904" width="15.6640625" style="86" customWidth="1"/>
    <col min="7905" max="7905" width="17.6640625" style="86" bestFit="1" customWidth="1"/>
    <col min="7906" max="7906" width="8.6640625" style="86"/>
    <col min="7907" max="7907" width="18" style="86" bestFit="1" customWidth="1"/>
    <col min="7908" max="7909" width="8.6640625" style="86"/>
    <col min="7910" max="7910" width="21.6640625" style="86" customWidth="1"/>
    <col min="7911" max="7911" width="9.44140625" style="86" bestFit="1" customWidth="1"/>
    <col min="7912" max="8154" width="8.6640625" style="86"/>
    <col min="8155" max="8155" width="12.6640625" style="86" customWidth="1"/>
    <col min="8156" max="8156" width="60.33203125" style="86" customWidth="1"/>
    <col min="8157" max="8158" width="12.6640625" style="86" customWidth="1"/>
    <col min="8159" max="8159" width="12.33203125" style="86" bestFit="1" customWidth="1"/>
    <col min="8160" max="8160" width="15.6640625" style="86" customWidth="1"/>
    <col min="8161" max="8161" width="17.6640625" style="86" bestFit="1" customWidth="1"/>
    <col min="8162" max="8162" width="8.6640625" style="86"/>
    <col min="8163" max="8163" width="18" style="86" bestFit="1" customWidth="1"/>
    <col min="8164" max="8165" width="8.6640625" style="86"/>
    <col min="8166" max="8166" width="21.6640625" style="86" customWidth="1"/>
    <col min="8167" max="8167" width="9.44140625" style="86" bestFit="1" customWidth="1"/>
    <col min="8168" max="8410" width="8.6640625" style="86"/>
    <col min="8411" max="8411" width="12.6640625" style="86" customWidth="1"/>
    <col min="8412" max="8412" width="60.33203125" style="86" customWidth="1"/>
    <col min="8413" max="8414" width="12.6640625" style="86" customWidth="1"/>
    <col min="8415" max="8415" width="12.33203125" style="86" bestFit="1" customWidth="1"/>
    <col min="8416" max="8416" width="15.6640625" style="86" customWidth="1"/>
    <col min="8417" max="8417" width="17.6640625" style="86" bestFit="1" customWidth="1"/>
    <col min="8418" max="8418" width="8.6640625" style="86"/>
    <col min="8419" max="8419" width="18" style="86" bestFit="1" customWidth="1"/>
    <col min="8420" max="8421" width="8.6640625" style="86"/>
    <col min="8422" max="8422" width="21.6640625" style="86" customWidth="1"/>
    <col min="8423" max="8423" width="9.44140625" style="86" bestFit="1" customWidth="1"/>
    <col min="8424" max="8666" width="8.6640625" style="86"/>
    <col min="8667" max="8667" width="12.6640625" style="86" customWidth="1"/>
    <col min="8668" max="8668" width="60.33203125" style="86" customWidth="1"/>
    <col min="8669" max="8670" width="12.6640625" style="86" customWidth="1"/>
    <col min="8671" max="8671" width="12.33203125" style="86" bestFit="1" customWidth="1"/>
    <col min="8672" max="8672" width="15.6640625" style="86" customWidth="1"/>
    <col min="8673" max="8673" width="17.6640625" style="86" bestFit="1" customWidth="1"/>
    <col min="8674" max="8674" width="8.6640625" style="86"/>
    <col min="8675" max="8675" width="18" style="86" bestFit="1" customWidth="1"/>
    <col min="8676" max="8677" width="8.6640625" style="86"/>
    <col min="8678" max="8678" width="21.6640625" style="86" customWidth="1"/>
    <col min="8679" max="8679" width="9.44140625" style="86" bestFit="1" customWidth="1"/>
    <col min="8680" max="8922" width="8.6640625" style="86"/>
    <col min="8923" max="8923" width="12.6640625" style="86" customWidth="1"/>
    <col min="8924" max="8924" width="60.33203125" style="86" customWidth="1"/>
    <col min="8925" max="8926" width="12.6640625" style="86" customWidth="1"/>
    <col min="8927" max="8927" width="12.33203125" style="86" bestFit="1" customWidth="1"/>
    <col min="8928" max="8928" width="15.6640625" style="86" customWidth="1"/>
    <col min="8929" max="8929" width="17.6640625" style="86" bestFit="1" customWidth="1"/>
    <col min="8930" max="8930" width="8.6640625" style="86"/>
    <col min="8931" max="8931" width="18" style="86" bestFit="1" customWidth="1"/>
    <col min="8932" max="8933" width="8.6640625" style="86"/>
    <col min="8934" max="8934" width="21.6640625" style="86" customWidth="1"/>
    <col min="8935" max="8935" width="9.44140625" style="86" bestFit="1" customWidth="1"/>
    <col min="8936" max="9178" width="8.6640625" style="86"/>
    <col min="9179" max="9179" width="12.6640625" style="86" customWidth="1"/>
    <col min="9180" max="9180" width="60.33203125" style="86" customWidth="1"/>
    <col min="9181" max="9182" width="12.6640625" style="86" customWidth="1"/>
    <col min="9183" max="9183" width="12.33203125" style="86" bestFit="1" customWidth="1"/>
    <col min="9184" max="9184" width="15.6640625" style="86" customWidth="1"/>
    <col min="9185" max="9185" width="17.6640625" style="86" bestFit="1" customWidth="1"/>
    <col min="9186" max="9186" width="8.6640625" style="86"/>
    <col min="9187" max="9187" width="18" style="86" bestFit="1" customWidth="1"/>
    <col min="9188" max="9189" width="8.6640625" style="86"/>
    <col min="9190" max="9190" width="21.6640625" style="86" customWidth="1"/>
    <col min="9191" max="9191" width="9.44140625" style="86" bestFit="1" customWidth="1"/>
    <col min="9192" max="9434" width="8.6640625" style="86"/>
    <col min="9435" max="9435" width="12.6640625" style="86" customWidth="1"/>
    <col min="9436" max="9436" width="60.33203125" style="86" customWidth="1"/>
    <col min="9437" max="9438" width="12.6640625" style="86" customWidth="1"/>
    <col min="9439" max="9439" width="12.33203125" style="86" bestFit="1" customWidth="1"/>
    <col min="9440" max="9440" width="15.6640625" style="86" customWidth="1"/>
    <col min="9441" max="9441" width="17.6640625" style="86" bestFit="1" customWidth="1"/>
    <col min="9442" max="9442" width="8.6640625" style="86"/>
    <col min="9443" max="9443" width="18" style="86" bestFit="1" customWidth="1"/>
    <col min="9444" max="9445" width="8.6640625" style="86"/>
    <col min="9446" max="9446" width="21.6640625" style="86" customWidth="1"/>
    <col min="9447" max="9447" width="9.44140625" style="86" bestFit="1" customWidth="1"/>
    <col min="9448" max="9690" width="8.6640625" style="86"/>
    <col min="9691" max="9691" width="12.6640625" style="86" customWidth="1"/>
    <col min="9692" max="9692" width="60.33203125" style="86" customWidth="1"/>
    <col min="9693" max="9694" width="12.6640625" style="86" customWidth="1"/>
    <col min="9695" max="9695" width="12.33203125" style="86" bestFit="1" customWidth="1"/>
    <col min="9696" max="9696" width="15.6640625" style="86" customWidth="1"/>
    <col min="9697" max="9697" width="17.6640625" style="86" bestFit="1" customWidth="1"/>
    <col min="9698" max="9698" width="8.6640625" style="86"/>
    <col min="9699" max="9699" width="18" style="86" bestFit="1" customWidth="1"/>
    <col min="9700" max="9701" width="8.6640625" style="86"/>
    <col min="9702" max="9702" width="21.6640625" style="86" customWidth="1"/>
    <col min="9703" max="9703" width="9.44140625" style="86" bestFit="1" customWidth="1"/>
    <col min="9704" max="9946" width="8.6640625" style="86"/>
    <col min="9947" max="9947" width="12.6640625" style="86" customWidth="1"/>
    <col min="9948" max="9948" width="60.33203125" style="86" customWidth="1"/>
    <col min="9949" max="9950" width="12.6640625" style="86" customWidth="1"/>
    <col min="9951" max="9951" width="12.33203125" style="86" bestFit="1" customWidth="1"/>
    <col min="9952" max="9952" width="15.6640625" style="86" customWidth="1"/>
    <col min="9953" max="9953" width="17.6640625" style="86" bestFit="1" customWidth="1"/>
    <col min="9954" max="9954" width="8.6640625" style="86"/>
    <col min="9955" max="9955" width="18" style="86" bestFit="1" customWidth="1"/>
    <col min="9956" max="9957" width="8.6640625" style="86"/>
    <col min="9958" max="9958" width="21.6640625" style="86" customWidth="1"/>
    <col min="9959" max="9959" width="9.44140625" style="86" bestFit="1" customWidth="1"/>
    <col min="9960" max="10202" width="8.6640625" style="86"/>
    <col min="10203" max="10203" width="12.6640625" style="86" customWidth="1"/>
    <col min="10204" max="10204" width="60.33203125" style="86" customWidth="1"/>
    <col min="10205" max="10206" width="12.6640625" style="86" customWidth="1"/>
    <col min="10207" max="10207" width="12.33203125" style="86" bestFit="1" customWidth="1"/>
    <col min="10208" max="10208" width="15.6640625" style="86" customWidth="1"/>
    <col min="10209" max="10209" width="17.6640625" style="86" bestFit="1" customWidth="1"/>
    <col min="10210" max="10210" width="8.6640625" style="86"/>
    <col min="10211" max="10211" width="18" style="86" bestFit="1" customWidth="1"/>
    <col min="10212" max="10213" width="8.6640625" style="86"/>
    <col min="10214" max="10214" width="21.6640625" style="86" customWidth="1"/>
    <col min="10215" max="10215" width="9.44140625" style="86" bestFit="1" customWidth="1"/>
    <col min="10216" max="10458" width="8.6640625" style="86"/>
    <col min="10459" max="10459" width="12.6640625" style="86" customWidth="1"/>
    <col min="10460" max="10460" width="60.33203125" style="86" customWidth="1"/>
    <col min="10461" max="10462" width="12.6640625" style="86" customWidth="1"/>
    <col min="10463" max="10463" width="12.33203125" style="86" bestFit="1" customWidth="1"/>
    <col min="10464" max="10464" width="15.6640625" style="86" customWidth="1"/>
    <col min="10465" max="10465" width="17.6640625" style="86" bestFit="1" customWidth="1"/>
    <col min="10466" max="10466" width="8.6640625" style="86"/>
    <col min="10467" max="10467" width="18" style="86" bestFit="1" customWidth="1"/>
    <col min="10468" max="10469" width="8.6640625" style="86"/>
    <col min="10470" max="10470" width="21.6640625" style="86" customWidth="1"/>
    <col min="10471" max="10471" width="9.44140625" style="86" bestFit="1" customWidth="1"/>
    <col min="10472" max="10714" width="8.6640625" style="86"/>
    <col min="10715" max="10715" width="12.6640625" style="86" customWidth="1"/>
    <col min="10716" max="10716" width="60.33203125" style="86" customWidth="1"/>
    <col min="10717" max="10718" width="12.6640625" style="86" customWidth="1"/>
    <col min="10719" max="10719" width="12.33203125" style="86" bestFit="1" customWidth="1"/>
    <col min="10720" max="10720" width="15.6640625" style="86" customWidth="1"/>
    <col min="10721" max="10721" width="17.6640625" style="86" bestFit="1" customWidth="1"/>
    <col min="10722" max="10722" width="8.6640625" style="86"/>
    <col min="10723" max="10723" width="18" style="86" bestFit="1" customWidth="1"/>
    <col min="10724" max="10725" width="8.6640625" style="86"/>
    <col min="10726" max="10726" width="21.6640625" style="86" customWidth="1"/>
    <col min="10727" max="10727" width="9.44140625" style="86" bestFit="1" customWidth="1"/>
    <col min="10728" max="10970" width="8.6640625" style="86"/>
    <col min="10971" max="10971" width="12.6640625" style="86" customWidth="1"/>
    <col min="10972" max="10972" width="60.33203125" style="86" customWidth="1"/>
    <col min="10973" max="10974" width="12.6640625" style="86" customWidth="1"/>
    <col min="10975" max="10975" width="12.33203125" style="86" bestFit="1" customWidth="1"/>
    <col min="10976" max="10976" width="15.6640625" style="86" customWidth="1"/>
    <col min="10977" max="10977" width="17.6640625" style="86" bestFit="1" customWidth="1"/>
    <col min="10978" max="10978" width="8.6640625" style="86"/>
    <col min="10979" max="10979" width="18" style="86" bestFit="1" customWidth="1"/>
    <col min="10980" max="10981" width="8.6640625" style="86"/>
    <col min="10982" max="10982" width="21.6640625" style="86" customWidth="1"/>
    <col min="10983" max="10983" width="9.44140625" style="86" bestFit="1" customWidth="1"/>
    <col min="10984" max="11226" width="8.6640625" style="86"/>
    <col min="11227" max="11227" width="12.6640625" style="86" customWidth="1"/>
    <col min="11228" max="11228" width="60.33203125" style="86" customWidth="1"/>
    <col min="11229" max="11230" width="12.6640625" style="86" customWidth="1"/>
    <col min="11231" max="11231" width="12.33203125" style="86" bestFit="1" customWidth="1"/>
    <col min="11232" max="11232" width="15.6640625" style="86" customWidth="1"/>
    <col min="11233" max="11233" width="17.6640625" style="86" bestFit="1" customWidth="1"/>
    <col min="11234" max="11234" width="8.6640625" style="86"/>
    <col min="11235" max="11235" width="18" style="86" bestFit="1" customWidth="1"/>
    <col min="11236" max="11237" width="8.6640625" style="86"/>
    <col min="11238" max="11238" width="21.6640625" style="86" customWidth="1"/>
    <col min="11239" max="11239" width="9.44140625" style="86" bestFit="1" customWidth="1"/>
    <col min="11240" max="11482" width="8.6640625" style="86"/>
    <col min="11483" max="11483" width="12.6640625" style="86" customWidth="1"/>
    <col min="11484" max="11484" width="60.33203125" style="86" customWidth="1"/>
    <col min="11485" max="11486" width="12.6640625" style="86" customWidth="1"/>
    <col min="11487" max="11487" width="12.33203125" style="86" bestFit="1" customWidth="1"/>
    <col min="11488" max="11488" width="15.6640625" style="86" customWidth="1"/>
    <col min="11489" max="11489" width="17.6640625" style="86" bestFit="1" customWidth="1"/>
    <col min="11490" max="11490" width="8.6640625" style="86"/>
    <col min="11491" max="11491" width="18" style="86" bestFit="1" customWidth="1"/>
    <col min="11492" max="11493" width="8.6640625" style="86"/>
    <col min="11494" max="11494" width="21.6640625" style="86" customWidth="1"/>
    <col min="11495" max="11495" width="9.44140625" style="86" bestFit="1" customWidth="1"/>
    <col min="11496" max="11738" width="8.6640625" style="86"/>
    <col min="11739" max="11739" width="12.6640625" style="86" customWidth="1"/>
    <col min="11740" max="11740" width="60.33203125" style="86" customWidth="1"/>
    <col min="11741" max="11742" width="12.6640625" style="86" customWidth="1"/>
    <col min="11743" max="11743" width="12.33203125" style="86" bestFit="1" customWidth="1"/>
    <col min="11744" max="11744" width="15.6640625" style="86" customWidth="1"/>
    <col min="11745" max="11745" width="17.6640625" style="86" bestFit="1" customWidth="1"/>
    <col min="11746" max="11746" width="8.6640625" style="86"/>
    <col min="11747" max="11747" width="18" style="86" bestFit="1" customWidth="1"/>
    <col min="11748" max="11749" width="8.6640625" style="86"/>
    <col min="11750" max="11750" width="21.6640625" style="86" customWidth="1"/>
    <col min="11751" max="11751" width="9.44140625" style="86" bestFit="1" customWidth="1"/>
    <col min="11752" max="11994" width="8.6640625" style="86"/>
    <col min="11995" max="11995" width="12.6640625" style="86" customWidth="1"/>
    <col min="11996" max="11996" width="60.33203125" style="86" customWidth="1"/>
    <col min="11997" max="11998" width="12.6640625" style="86" customWidth="1"/>
    <col min="11999" max="11999" width="12.33203125" style="86" bestFit="1" customWidth="1"/>
    <col min="12000" max="12000" width="15.6640625" style="86" customWidth="1"/>
    <col min="12001" max="12001" width="17.6640625" style="86" bestFit="1" customWidth="1"/>
    <col min="12002" max="12002" width="8.6640625" style="86"/>
    <col min="12003" max="12003" width="18" style="86" bestFit="1" customWidth="1"/>
    <col min="12004" max="12005" width="8.6640625" style="86"/>
    <col min="12006" max="12006" width="21.6640625" style="86" customWidth="1"/>
    <col min="12007" max="12007" width="9.44140625" style="86" bestFit="1" customWidth="1"/>
    <col min="12008" max="12250" width="8.6640625" style="86"/>
    <col min="12251" max="12251" width="12.6640625" style="86" customWidth="1"/>
    <col min="12252" max="12252" width="60.33203125" style="86" customWidth="1"/>
    <col min="12253" max="12254" width="12.6640625" style="86" customWidth="1"/>
    <col min="12255" max="12255" width="12.33203125" style="86" bestFit="1" customWidth="1"/>
    <col min="12256" max="12256" width="15.6640625" style="86" customWidth="1"/>
    <col min="12257" max="12257" width="17.6640625" style="86" bestFit="1" customWidth="1"/>
    <col min="12258" max="12258" width="8.6640625" style="86"/>
    <col min="12259" max="12259" width="18" style="86" bestFit="1" customWidth="1"/>
    <col min="12260" max="12261" width="8.6640625" style="86"/>
    <col min="12262" max="12262" width="21.6640625" style="86" customWidth="1"/>
    <col min="12263" max="12263" width="9.44140625" style="86" bestFit="1" customWidth="1"/>
    <col min="12264" max="12506" width="8.6640625" style="86"/>
    <col min="12507" max="12507" width="12.6640625" style="86" customWidth="1"/>
    <col min="12508" max="12508" width="60.33203125" style="86" customWidth="1"/>
    <col min="12509" max="12510" width="12.6640625" style="86" customWidth="1"/>
    <col min="12511" max="12511" width="12.33203125" style="86" bestFit="1" customWidth="1"/>
    <col min="12512" max="12512" width="15.6640625" style="86" customWidth="1"/>
    <col min="12513" max="12513" width="17.6640625" style="86" bestFit="1" customWidth="1"/>
    <col min="12514" max="12514" width="8.6640625" style="86"/>
    <col min="12515" max="12515" width="18" style="86" bestFit="1" customWidth="1"/>
    <col min="12516" max="12517" width="8.6640625" style="86"/>
    <col min="12518" max="12518" width="21.6640625" style="86" customWidth="1"/>
    <col min="12519" max="12519" width="9.44140625" style="86" bestFit="1" customWidth="1"/>
    <col min="12520" max="12762" width="8.6640625" style="86"/>
    <col min="12763" max="12763" width="12.6640625" style="86" customWidth="1"/>
    <col min="12764" max="12764" width="60.33203125" style="86" customWidth="1"/>
    <col min="12765" max="12766" width="12.6640625" style="86" customWidth="1"/>
    <col min="12767" max="12767" width="12.33203125" style="86" bestFit="1" customWidth="1"/>
    <col min="12768" max="12768" width="15.6640625" style="86" customWidth="1"/>
    <col min="12769" max="12769" width="17.6640625" style="86" bestFit="1" customWidth="1"/>
    <col min="12770" max="12770" width="8.6640625" style="86"/>
    <col min="12771" max="12771" width="18" style="86" bestFit="1" customWidth="1"/>
    <col min="12772" max="12773" width="8.6640625" style="86"/>
    <col min="12774" max="12774" width="21.6640625" style="86" customWidth="1"/>
    <col min="12775" max="12775" width="9.44140625" style="86" bestFit="1" customWidth="1"/>
    <col min="12776" max="13018" width="8.6640625" style="86"/>
    <col min="13019" max="13019" width="12.6640625" style="86" customWidth="1"/>
    <col min="13020" max="13020" width="60.33203125" style="86" customWidth="1"/>
    <col min="13021" max="13022" width="12.6640625" style="86" customWidth="1"/>
    <col min="13023" max="13023" width="12.33203125" style="86" bestFit="1" customWidth="1"/>
    <col min="13024" max="13024" width="15.6640625" style="86" customWidth="1"/>
    <col min="13025" max="13025" width="17.6640625" style="86" bestFit="1" customWidth="1"/>
    <col min="13026" max="13026" width="8.6640625" style="86"/>
    <col min="13027" max="13027" width="18" style="86" bestFit="1" customWidth="1"/>
    <col min="13028" max="13029" width="8.6640625" style="86"/>
    <col min="13030" max="13030" width="21.6640625" style="86" customWidth="1"/>
    <col min="13031" max="13031" width="9.44140625" style="86" bestFit="1" customWidth="1"/>
    <col min="13032" max="13274" width="8.6640625" style="86"/>
    <col min="13275" max="13275" width="12.6640625" style="86" customWidth="1"/>
    <col min="13276" max="13276" width="60.33203125" style="86" customWidth="1"/>
    <col min="13277" max="13278" width="12.6640625" style="86" customWidth="1"/>
    <col min="13279" max="13279" width="12.33203125" style="86" bestFit="1" customWidth="1"/>
    <col min="13280" max="13280" width="15.6640625" style="86" customWidth="1"/>
    <col min="13281" max="13281" width="17.6640625" style="86" bestFit="1" customWidth="1"/>
    <col min="13282" max="13282" width="8.6640625" style="86"/>
    <col min="13283" max="13283" width="18" style="86" bestFit="1" customWidth="1"/>
    <col min="13284" max="13285" width="8.6640625" style="86"/>
    <col min="13286" max="13286" width="21.6640625" style="86" customWidth="1"/>
    <col min="13287" max="13287" width="9.44140625" style="86" bestFit="1" customWidth="1"/>
    <col min="13288" max="13530" width="8.6640625" style="86"/>
    <col min="13531" max="13531" width="12.6640625" style="86" customWidth="1"/>
    <col min="13532" max="13532" width="60.33203125" style="86" customWidth="1"/>
    <col min="13533" max="13534" width="12.6640625" style="86" customWidth="1"/>
    <col min="13535" max="13535" width="12.33203125" style="86" bestFit="1" customWidth="1"/>
    <col min="13536" max="13536" width="15.6640625" style="86" customWidth="1"/>
    <col min="13537" max="13537" width="17.6640625" style="86" bestFit="1" customWidth="1"/>
    <col min="13538" max="13538" width="8.6640625" style="86"/>
    <col min="13539" max="13539" width="18" style="86" bestFit="1" customWidth="1"/>
    <col min="13540" max="13541" width="8.6640625" style="86"/>
    <col min="13542" max="13542" width="21.6640625" style="86" customWidth="1"/>
    <col min="13543" max="13543" width="9.44140625" style="86" bestFit="1" customWidth="1"/>
    <col min="13544" max="13786" width="8.6640625" style="86"/>
    <col min="13787" max="13787" width="12.6640625" style="86" customWidth="1"/>
    <col min="13788" max="13788" width="60.33203125" style="86" customWidth="1"/>
    <col min="13789" max="13790" width="12.6640625" style="86" customWidth="1"/>
    <col min="13791" max="13791" width="12.33203125" style="86" bestFit="1" customWidth="1"/>
    <col min="13792" max="13792" width="15.6640625" style="86" customWidth="1"/>
    <col min="13793" max="13793" width="17.6640625" style="86" bestFit="1" customWidth="1"/>
    <col min="13794" max="13794" width="8.6640625" style="86"/>
    <col min="13795" max="13795" width="18" style="86" bestFit="1" customWidth="1"/>
    <col min="13796" max="13797" width="8.6640625" style="86"/>
    <col min="13798" max="13798" width="21.6640625" style="86" customWidth="1"/>
    <col min="13799" max="13799" width="9.44140625" style="86" bestFit="1" customWidth="1"/>
    <col min="13800" max="14042" width="8.6640625" style="86"/>
    <col min="14043" max="14043" width="12.6640625" style="86" customWidth="1"/>
    <col min="14044" max="14044" width="60.33203125" style="86" customWidth="1"/>
    <col min="14045" max="14046" width="12.6640625" style="86" customWidth="1"/>
    <col min="14047" max="14047" width="12.33203125" style="86" bestFit="1" customWidth="1"/>
    <col min="14048" max="14048" width="15.6640625" style="86" customWidth="1"/>
    <col min="14049" max="14049" width="17.6640625" style="86" bestFit="1" customWidth="1"/>
    <col min="14050" max="14050" width="8.6640625" style="86"/>
    <col min="14051" max="14051" width="18" style="86" bestFit="1" customWidth="1"/>
    <col min="14052" max="14053" width="8.6640625" style="86"/>
    <col min="14054" max="14054" width="21.6640625" style="86" customWidth="1"/>
    <col min="14055" max="14055" width="9.44140625" style="86" bestFit="1" customWidth="1"/>
    <col min="14056" max="14298" width="8.6640625" style="86"/>
    <col min="14299" max="14299" width="12.6640625" style="86" customWidth="1"/>
    <col min="14300" max="14300" width="60.33203125" style="86" customWidth="1"/>
    <col min="14301" max="14302" width="12.6640625" style="86" customWidth="1"/>
    <col min="14303" max="14303" width="12.33203125" style="86" bestFit="1" customWidth="1"/>
    <col min="14304" max="14304" width="15.6640625" style="86" customWidth="1"/>
    <col min="14305" max="14305" width="17.6640625" style="86" bestFit="1" customWidth="1"/>
    <col min="14306" max="14306" width="8.6640625" style="86"/>
    <col min="14307" max="14307" width="18" style="86" bestFit="1" customWidth="1"/>
    <col min="14308" max="14309" width="8.6640625" style="86"/>
    <col min="14310" max="14310" width="21.6640625" style="86" customWidth="1"/>
    <col min="14311" max="14311" width="9.44140625" style="86" bestFit="1" customWidth="1"/>
    <col min="14312" max="14554" width="8.6640625" style="86"/>
    <col min="14555" max="14555" width="12.6640625" style="86" customWidth="1"/>
    <col min="14556" max="14556" width="60.33203125" style="86" customWidth="1"/>
    <col min="14557" max="14558" width="12.6640625" style="86" customWidth="1"/>
    <col min="14559" max="14559" width="12.33203125" style="86" bestFit="1" customWidth="1"/>
    <col min="14560" max="14560" width="15.6640625" style="86" customWidth="1"/>
    <col min="14561" max="14561" width="17.6640625" style="86" bestFit="1" customWidth="1"/>
    <col min="14562" max="14562" width="8.6640625" style="86"/>
    <col min="14563" max="14563" width="18" style="86" bestFit="1" customWidth="1"/>
    <col min="14564" max="14565" width="8.6640625" style="86"/>
    <col min="14566" max="14566" width="21.6640625" style="86" customWidth="1"/>
    <col min="14567" max="14567" width="9.44140625" style="86" bestFit="1" customWidth="1"/>
    <col min="14568" max="14810" width="8.6640625" style="86"/>
    <col min="14811" max="14811" width="12.6640625" style="86" customWidth="1"/>
    <col min="14812" max="14812" width="60.33203125" style="86" customWidth="1"/>
    <col min="14813" max="14814" width="12.6640625" style="86" customWidth="1"/>
    <col min="14815" max="14815" width="12.33203125" style="86" bestFit="1" customWidth="1"/>
    <col min="14816" max="14816" width="15.6640625" style="86" customWidth="1"/>
    <col min="14817" max="14817" width="17.6640625" style="86" bestFit="1" customWidth="1"/>
    <col min="14818" max="14818" width="8.6640625" style="86"/>
    <col min="14819" max="14819" width="18" style="86" bestFit="1" customWidth="1"/>
    <col min="14820" max="14821" width="8.6640625" style="86"/>
    <col min="14822" max="14822" width="21.6640625" style="86" customWidth="1"/>
    <col min="14823" max="14823" width="9.44140625" style="86" bestFit="1" customWidth="1"/>
    <col min="14824" max="15066" width="8.6640625" style="86"/>
    <col min="15067" max="15067" width="12.6640625" style="86" customWidth="1"/>
    <col min="15068" max="15068" width="60.33203125" style="86" customWidth="1"/>
    <col min="15069" max="15070" width="12.6640625" style="86" customWidth="1"/>
    <col min="15071" max="15071" width="12.33203125" style="86" bestFit="1" customWidth="1"/>
    <col min="15072" max="15072" width="15.6640625" style="86" customWidth="1"/>
    <col min="15073" max="15073" width="17.6640625" style="86" bestFit="1" customWidth="1"/>
    <col min="15074" max="15074" width="8.6640625" style="86"/>
    <col min="15075" max="15075" width="18" style="86" bestFit="1" customWidth="1"/>
    <col min="15076" max="15077" width="8.6640625" style="86"/>
    <col min="15078" max="15078" width="21.6640625" style="86" customWidth="1"/>
    <col min="15079" max="15079" width="9.44140625" style="86" bestFit="1" customWidth="1"/>
    <col min="15080" max="15322" width="8.6640625" style="86"/>
    <col min="15323" max="15323" width="12.6640625" style="86" customWidth="1"/>
    <col min="15324" max="15324" width="60.33203125" style="86" customWidth="1"/>
    <col min="15325" max="15326" width="12.6640625" style="86" customWidth="1"/>
    <col min="15327" max="15327" width="12.33203125" style="86" bestFit="1" customWidth="1"/>
    <col min="15328" max="15328" width="15.6640625" style="86" customWidth="1"/>
    <col min="15329" max="15329" width="17.6640625" style="86" bestFit="1" customWidth="1"/>
    <col min="15330" max="15330" width="8.6640625" style="86"/>
    <col min="15331" max="15331" width="18" style="86" bestFit="1" customWidth="1"/>
    <col min="15332" max="15333" width="8.6640625" style="86"/>
    <col min="15334" max="15334" width="21.6640625" style="86" customWidth="1"/>
    <col min="15335" max="15335" width="9.44140625" style="86" bestFit="1" customWidth="1"/>
    <col min="15336" max="15578" width="8.6640625" style="86"/>
    <col min="15579" max="15579" width="12.6640625" style="86" customWidth="1"/>
    <col min="15580" max="15580" width="60.33203125" style="86" customWidth="1"/>
    <col min="15581" max="15582" width="12.6640625" style="86" customWidth="1"/>
    <col min="15583" max="15583" width="12.33203125" style="86" bestFit="1" customWidth="1"/>
    <col min="15584" max="15584" width="15.6640625" style="86" customWidth="1"/>
    <col min="15585" max="15585" width="17.6640625" style="86" bestFit="1" customWidth="1"/>
    <col min="15586" max="15586" width="8.6640625" style="86"/>
    <col min="15587" max="15587" width="18" style="86" bestFit="1" customWidth="1"/>
    <col min="15588" max="15589" width="8.6640625" style="86"/>
    <col min="15590" max="15590" width="21.6640625" style="86" customWidth="1"/>
    <col min="15591" max="15591" width="9.44140625" style="86" bestFit="1" customWidth="1"/>
    <col min="15592" max="15834" width="8.6640625" style="86"/>
    <col min="15835" max="15835" width="12.6640625" style="86" customWidth="1"/>
    <col min="15836" max="15836" width="60.33203125" style="86" customWidth="1"/>
    <col min="15837" max="15838" width="12.6640625" style="86" customWidth="1"/>
    <col min="15839" max="15839" width="12.33203125" style="86" bestFit="1" customWidth="1"/>
    <col min="15840" max="15840" width="15.6640625" style="86" customWidth="1"/>
    <col min="15841" max="15841" width="17.6640625" style="86" bestFit="1" customWidth="1"/>
    <col min="15842" max="15842" width="8.6640625" style="86"/>
    <col min="15843" max="15843" width="18" style="86" bestFit="1" customWidth="1"/>
    <col min="15844" max="15845" width="8.6640625" style="86"/>
    <col min="15846" max="15846" width="21.6640625" style="86" customWidth="1"/>
    <col min="15847" max="15847" width="9.44140625" style="86" bestFit="1" customWidth="1"/>
    <col min="15848" max="16090" width="8.6640625" style="86"/>
    <col min="16091" max="16091" width="12.6640625" style="86" customWidth="1"/>
    <col min="16092" max="16092" width="60.33203125" style="86" customWidth="1"/>
    <col min="16093" max="16094" width="12.6640625" style="86" customWidth="1"/>
    <col min="16095" max="16095" width="12.33203125" style="86" bestFit="1" customWidth="1"/>
    <col min="16096" max="16096" width="15.6640625" style="86" customWidth="1"/>
    <col min="16097" max="16097" width="17.6640625" style="86" bestFit="1" customWidth="1"/>
    <col min="16098" max="16098" width="8.6640625" style="86"/>
    <col min="16099" max="16099" width="18" style="86" bestFit="1" customWidth="1"/>
    <col min="16100" max="16101" width="8.6640625" style="86"/>
    <col min="16102" max="16102" width="21.6640625" style="86" customWidth="1"/>
    <col min="16103" max="16103" width="9.44140625" style="86" bestFit="1" customWidth="1"/>
    <col min="16104" max="16384" width="8.6640625" style="86"/>
  </cols>
  <sheetData>
    <row r="1" spans="1:10" ht="14.4" thickBot="1">
      <c r="A1" s="337" t="s">
        <v>39</v>
      </c>
      <c r="B1" s="338"/>
      <c r="C1" s="339"/>
      <c r="D1" s="339"/>
      <c r="E1" s="339"/>
      <c r="F1" s="85"/>
    </row>
    <row r="2" spans="1:10" ht="13.8">
      <c r="A2" s="282"/>
      <c r="B2" s="282"/>
      <c r="C2" s="283"/>
      <c r="D2" s="283"/>
      <c r="E2" s="283"/>
      <c r="F2" s="284"/>
    </row>
    <row r="3" spans="1:10" ht="13.8">
      <c r="A3" s="285" t="s">
        <v>308</v>
      </c>
      <c r="B3" s="282"/>
      <c r="C3" s="283"/>
      <c r="D3" s="283"/>
      <c r="E3" s="283"/>
      <c r="F3" s="284"/>
    </row>
    <row r="4" spans="1:10" ht="19.95" customHeight="1" thickBot="1">
      <c r="A4" s="87"/>
      <c r="B4" s="88"/>
      <c r="C4" s="88"/>
      <c r="D4" s="88"/>
      <c r="E4" s="89"/>
    </row>
    <row r="5" spans="1:10" ht="26.25" customHeight="1">
      <c r="A5" s="292" t="s">
        <v>288</v>
      </c>
      <c r="B5" s="333" t="s">
        <v>275</v>
      </c>
      <c r="C5" s="333"/>
      <c r="D5" s="333"/>
      <c r="E5" s="333"/>
      <c r="F5" s="334"/>
      <c r="H5" s="331"/>
      <c r="I5" s="331"/>
      <c r="J5" s="332"/>
    </row>
    <row r="6" spans="1:10" ht="27.75" customHeight="1">
      <c r="A6" s="91" t="s">
        <v>3</v>
      </c>
      <c r="B6" s="92" t="s">
        <v>5</v>
      </c>
      <c r="C6" s="92" t="s">
        <v>6</v>
      </c>
      <c r="D6" s="154" t="s">
        <v>74</v>
      </c>
      <c r="E6" s="92" t="s">
        <v>40</v>
      </c>
      <c r="F6" s="93" t="s">
        <v>41</v>
      </c>
      <c r="H6" s="160" t="s">
        <v>42</v>
      </c>
      <c r="I6" s="160" t="s">
        <v>43</v>
      </c>
      <c r="J6" s="160" t="s">
        <v>44</v>
      </c>
    </row>
    <row r="7" spans="1:10" ht="12.75" customHeight="1">
      <c r="A7" s="297" t="str">
        <f>"valor mês "&amp;A5</f>
        <v>valor mês Produto 1</v>
      </c>
      <c r="B7" s="237"/>
      <c r="C7" s="38"/>
      <c r="D7" s="243"/>
      <c r="E7" s="42"/>
      <c r="F7" s="238">
        <f>F8+F21+F27</f>
        <v>53761.456666912061</v>
      </c>
      <c r="H7" s="162">
        <f>I7*J7</f>
        <v>176</v>
      </c>
      <c r="I7" s="161">
        <v>22</v>
      </c>
      <c r="J7" s="163">
        <v>8</v>
      </c>
    </row>
    <row r="8" spans="1:10">
      <c r="A8" s="242">
        <v>1</v>
      </c>
      <c r="B8" s="237" t="s">
        <v>45</v>
      </c>
      <c r="C8" s="38"/>
      <c r="D8" s="243"/>
      <c r="E8" s="42"/>
      <c r="F8" s="238">
        <f>SUM(F9:F20)</f>
        <v>28825.397599483684</v>
      </c>
    </row>
    <row r="9" spans="1:10" ht="12.75" customHeight="1">
      <c r="A9" s="96"/>
      <c r="B9" s="239" t="s">
        <v>55</v>
      </c>
      <c r="C9" s="38" t="s">
        <v>46</v>
      </c>
      <c r="D9" s="251">
        <f>HLOOKUP(B9,'Estimativa de horas por produto'!$F$33:$P$85,20,0)</f>
        <v>14.666666666666666</v>
      </c>
      <c r="E9" s="148">
        <f>VLOOKUP(B9,'Custo mao de obra Dnit'!A:AB,28,0)</f>
        <v>49.84170454545454</v>
      </c>
      <c r="F9" s="236">
        <f t="shared" ref="F9:F19" si="0">D9*E9</f>
        <v>731.01166666666654</v>
      </c>
      <c r="G9" s="281"/>
      <c r="H9" s="97"/>
    </row>
    <row r="10" spans="1:10">
      <c r="A10" s="96"/>
      <c r="B10" s="239" t="s">
        <v>56</v>
      </c>
      <c r="C10" s="38" t="s">
        <v>46</v>
      </c>
      <c r="D10" s="251">
        <f>HLOOKUP(B10,'Estimativa de horas por produto'!$F$33:$P$85,20,0)</f>
        <v>7.333333333333333</v>
      </c>
      <c r="E10" s="148">
        <f>VLOOKUP(B10,'Custo mao de obra Dnit'!A:AB,28,0)</f>
        <v>65.018465909090907</v>
      </c>
      <c r="F10" s="236">
        <f t="shared" si="0"/>
        <v>476.80208333333331</v>
      </c>
      <c r="G10" s="281"/>
    </row>
    <row r="11" spans="1:10">
      <c r="A11" s="96"/>
      <c r="B11" s="239" t="s">
        <v>57</v>
      </c>
      <c r="C11" s="38" t="s">
        <v>46</v>
      </c>
      <c r="D11" s="251">
        <f>HLOOKUP(B11,'Estimativa de horas por produto'!$F$33:$P$85,20,0)</f>
        <v>7.333333333333333</v>
      </c>
      <c r="E11" s="148">
        <f>VLOOKUP(B11,'Custo mao de obra Dnit'!A:AB,28,0)</f>
        <v>75.596358262926245</v>
      </c>
      <c r="F11" s="236">
        <f t="shared" si="0"/>
        <v>554.3732939281258</v>
      </c>
      <c r="G11" s="281"/>
    </row>
    <row r="12" spans="1:10" ht="12.75" customHeight="1">
      <c r="A12" s="96"/>
      <c r="B12" s="239" t="s">
        <v>58</v>
      </c>
      <c r="C12" s="38" t="s">
        <v>46</v>
      </c>
      <c r="D12" s="251">
        <f>HLOOKUP(B12,'Estimativa de horas por produto'!$F$33:$P$85,20,0)</f>
        <v>19.555555555555554</v>
      </c>
      <c r="E12" s="148">
        <f>VLOOKUP(B12,'Custo mao de obra Dnit'!A:AB,28,0)</f>
        <v>53.100624999999994</v>
      </c>
      <c r="F12" s="236">
        <f t="shared" si="0"/>
        <v>1038.412222222222</v>
      </c>
      <c r="G12" s="281"/>
    </row>
    <row r="13" spans="1:10">
      <c r="A13" s="96"/>
      <c r="B13" s="239" t="s">
        <v>59</v>
      </c>
      <c r="C13" s="38" t="s">
        <v>46</v>
      </c>
      <c r="D13" s="251">
        <f>HLOOKUP(B13,'Estimativa de horas por produto'!$F$33:$P$85,20,0)</f>
        <v>34.222222222222221</v>
      </c>
      <c r="E13" s="148">
        <f>VLOOKUP(B13,'Custo mao de obra Dnit'!A:AB,28,0)</f>
        <v>121.47482954545454</v>
      </c>
      <c r="F13" s="236">
        <f>D13*E13</f>
        <v>4157.1386111111105</v>
      </c>
      <c r="G13" s="281"/>
    </row>
    <row r="14" spans="1:10">
      <c r="A14" s="96"/>
      <c r="B14" s="239" t="s">
        <v>60</v>
      </c>
      <c r="C14" s="38" t="s">
        <v>46</v>
      </c>
      <c r="D14" s="251">
        <f>HLOOKUP(B14,'Estimativa de horas por produto'!$F$33:$P$85,20,0)</f>
        <v>22</v>
      </c>
      <c r="E14" s="148">
        <f>VLOOKUP(B14,'Custo mao de obra Dnit'!A:AB,28,0)</f>
        <v>45.856761363636366</v>
      </c>
      <c r="F14" s="236">
        <f t="shared" si="0"/>
        <v>1008.8487500000001</v>
      </c>
      <c r="G14" s="281"/>
    </row>
    <row r="15" spans="1:10" ht="12.75" customHeight="1">
      <c r="A15" s="96"/>
      <c r="B15" s="239" t="s">
        <v>61</v>
      </c>
      <c r="C15" s="38" t="s">
        <v>46</v>
      </c>
      <c r="D15" s="251">
        <f>HLOOKUP(B15,'Estimativa de horas por produto'!$F$33:$P$85,20,0)</f>
        <v>7.333333333333333</v>
      </c>
      <c r="E15" s="148">
        <f>VLOOKUP(B15,'Custo mao de obra Dnit'!A:AB,28,0)</f>
        <v>95.24392045454546</v>
      </c>
      <c r="F15" s="236">
        <f t="shared" si="0"/>
        <v>698.45541666666668</v>
      </c>
      <c r="G15" s="281"/>
    </row>
    <row r="16" spans="1:10">
      <c r="A16" s="96"/>
      <c r="B16" s="239" t="s">
        <v>62</v>
      </c>
      <c r="C16" s="38" t="s">
        <v>46</v>
      </c>
      <c r="D16" s="251">
        <f>HLOOKUP(B16,'Estimativa de horas por produto'!$F$33:$P$85,20,0)</f>
        <v>22</v>
      </c>
      <c r="E16" s="148">
        <f>VLOOKUP(B16,'Custo mao de obra Dnit'!A:AB,28,0)</f>
        <v>95.230852272727276</v>
      </c>
      <c r="F16" s="236">
        <f t="shared" si="0"/>
        <v>2095.0787500000001</v>
      </c>
      <c r="G16" s="281"/>
    </row>
    <row r="17" spans="1:13" ht="12.75" customHeight="1">
      <c r="A17" s="96"/>
      <c r="B17" s="239" t="s">
        <v>63</v>
      </c>
      <c r="C17" s="38" t="s">
        <v>46</v>
      </c>
      <c r="D17" s="251">
        <f>HLOOKUP(B17,'Estimativa de horas por produto'!$F$33:$P$85,20,0)</f>
        <v>22</v>
      </c>
      <c r="E17" s="148">
        <f>VLOOKUP(B17,'Custo mao de obra Dnit'!A:AB,28,0)</f>
        <v>107.9440909090909</v>
      </c>
      <c r="F17" s="236">
        <f t="shared" si="0"/>
        <v>2374.77</v>
      </c>
      <c r="G17" s="281"/>
      <c r="M17" s="101"/>
    </row>
    <row r="18" spans="1:13" ht="13.8">
      <c r="A18" s="96"/>
      <c r="B18" s="239" t="s">
        <v>64</v>
      </c>
      <c r="C18" s="38" t="s">
        <v>46</v>
      </c>
      <c r="D18" s="251">
        <f>HLOOKUP(B18,'Estimativa de horas por produto'!$F$33:$P$85,20,0)</f>
        <v>114.88888888888889</v>
      </c>
      <c r="E18" s="148">
        <f>VLOOKUP(B18,'Custo mao de obra Dnit'!A:AB,28,0)</f>
        <v>95.230852272727276</v>
      </c>
      <c r="F18" s="236">
        <f t="shared" si="0"/>
        <v>10940.966805555556</v>
      </c>
      <c r="G18" s="281"/>
      <c r="M18" s="101"/>
    </row>
    <row r="19" spans="1:13" ht="12.75" customHeight="1">
      <c r="A19" s="96"/>
      <c r="B19" s="239" t="s">
        <v>65</v>
      </c>
      <c r="C19" s="38" t="s">
        <v>46</v>
      </c>
      <c r="D19" s="251">
        <f>HLOOKUP(B19,'Estimativa de horas por produto'!$F$33:$P$85,20,0)</f>
        <v>44</v>
      </c>
      <c r="E19" s="148">
        <f>VLOOKUP(B19,'Custo mao de obra Dnit'!A:AB,28,0)</f>
        <v>107.9440909090909</v>
      </c>
      <c r="F19" s="236">
        <f t="shared" si="0"/>
        <v>4749.54</v>
      </c>
      <c r="G19" s="281"/>
    </row>
    <row r="20" spans="1:13" ht="13.8">
      <c r="A20" s="96"/>
      <c r="B20" s="239"/>
      <c r="C20" s="38"/>
      <c r="D20" s="251"/>
      <c r="E20" s="148"/>
      <c r="F20" s="236"/>
      <c r="M20" s="101"/>
    </row>
    <row r="21" spans="1:13" ht="12.75" customHeight="1">
      <c r="A21" s="242">
        <v>2</v>
      </c>
      <c r="B21" s="237" t="s">
        <v>201</v>
      </c>
      <c r="C21" s="245"/>
      <c r="D21" s="243"/>
      <c r="E21" s="45"/>
      <c r="F21" s="238">
        <f>SUM(F22:F24)</f>
        <v>12559.225734095042</v>
      </c>
    </row>
    <row r="22" spans="1:13" s="101" customFormat="1" ht="13.8">
      <c r="A22" s="234"/>
      <c r="B22" s="239" t="s">
        <v>242</v>
      </c>
      <c r="C22" s="240" t="s">
        <v>19</v>
      </c>
      <c r="D22" s="244">
        <f>$F$8</f>
        <v>28825.397599483684</v>
      </c>
      <c r="E22" s="252">
        <f>'Custos diversos e BDI - DNIT'!$D$30/100</f>
        <v>0.11110000000000002</v>
      </c>
      <c r="F22" s="236">
        <f>D22*E22</f>
        <v>3202.5016733026378</v>
      </c>
      <c r="G22" s="316"/>
      <c r="H22" s="317"/>
      <c r="L22" s="86"/>
    </row>
    <row r="23" spans="1:13" s="101" customFormat="1" ht="13.8">
      <c r="A23" s="234"/>
      <c r="B23" s="239" t="s">
        <v>224</v>
      </c>
      <c r="C23" s="240" t="s">
        <v>19</v>
      </c>
      <c r="D23" s="244">
        <f t="shared" ref="D23:D24" si="1">$F$8</f>
        <v>28825.397599483684</v>
      </c>
      <c r="E23" s="252">
        <f>'Custos diversos e BDI - DNIT'!$D$33/100</f>
        <v>0.12</v>
      </c>
      <c r="F23" s="236">
        <f t="shared" ref="F23:F24" si="2">D23*E23</f>
        <v>3459.0477119380421</v>
      </c>
      <c r="H23" s="317"/>
      <c r="L23" s="86"/>
    </row>
    <row r="24" spans="1:13" s="101" customFormat="1" ht="12.75" customHeight="1">
      <c r="A24" s="234"/>
      <c r="B24" s="239" t="s">
        <v>225</v>
      </c>
      <c r="C24" s="240" t="s">
        <v>19</v>
      </c>
      <c r="D24" s="244">
        <f t="shared" si="1"/>
        <v>28825.397599483684</v>
      </c>
      <c r="E24" s="252">
        <f>'Custos diversos e BDI - DNIT'!$D$38/100</f>
        <v>0.2046</v>
      </c>
      <c r="F24" s="236">
        <f t="shared" si="2"/>
        <v>5897.676348854362</v>
      </c>
      <c r="H24" s="317"/>
      <c r="L24" s="86"/>
    </row>
    <row r="25" spans="1:13" s="101" customFormat="1" ht="13.8">
      <c r="A25" s="234"/>
      <c r="B25" s="239"/>
      <c r="C25" s="49"/>
      <c r="D25" s="244"/>
      <c r="E25" s="246"/>
      <c r="F25" s="238"/>
      <c r="L25" s="86"/>
    </row>
    <row r="26" spans="1:13" s="101" customFormat="1" ht="12.75" customHeight="1">
      <c r="A26" s="234"/>
      <c r="B26" s="239"/>
      <c r="C26" s="49"/>
      <c r="D26" s="244"/>
      <c r="E26" s="246"/>
      <c r="F26" s="236"/>
      <c r="L26" s="86"/>
    </row>
    <row r="27" spans="1:13" s="101" customFormat="1" ht="13.8">
      <c r="A27" s="102">
        <v>3</v>
      </c>
      <c r="B27" s="103" t="s">
        <v>10</v>
      </c>
      <c r="C27" s="104" t="s">
        <v>46</v>
      </c>
      <c r="D27" s="105">
        <f>SUM(D9:D19)</f>
        <v>315.33333333333337</v>
      </c>
      <c r="E27" s="150">
        <f>'Custo Gerencial'!$G$48</f>
        <v>39.25</v>
      </c>
      <c r="F27" s="106">
        <f>D27*E27</f>
        <v>12376.833333333334</v>
      </c>
    </row>
    <row r="28" spans="1:13" s="101" customFormat="1" ht="13.8">
      <c r="A28" s="234"/>
      <c r="B28" s="239"/>
      <c r="C28" s="49"/>
      <c r="D28" s="244"/>
      <c r="E28" s="246"/>
      <c r="F28" s="236"/>
    </row>
    <row r="29" spans="1:13" s="101" customFormat="1" ht="14.4" thickBot="1">
      <c r="A29" s="107"/>
      <c r="B29" s="247" t="s">
        <v>73</v>
      </c>
      <c r="C29" s="109" t="s">
        <v>21</v>
      </c>
      <c r="D29" s="110">
        <v>1</v>
      </c>
      <c r="E29" s="223">
        <f>F7</f>
        <v>53761.456666912061</v>
      </c>
      <c r="F29" s="112">
        <f>E29*D29</f>
        <v>53761.456666912061</v>
      </c>
      <c r="H29" s="113"/>
      <c r="I29" s="113"/>
      <c r="J29" s="113"/>
      <c r="K29" s="113"/>
    </row>
    <row r="30" spans="1:13" s="101" customFormat="1" ht="13.8">
      <c r="A30" s="286"/>
      <c r="B30" s="287"/>
      <c r="C30" s="288"/>
      <c r="D30" s="289"/>
      <c r="E30" s="290"/>
      <c r="F30" s="291"/>
      <c r="H30" s="113"/>
      <c r="I30" s="113"/>
      <c r="J30" s="113"/>
      <c r="K30" s="113"/>
    </row>
    <row r="31" spans="1:13" ht="19.95" customHeight="1" thickBot="1">
      <c r="A31" s="224"/>
      <c r="B31" s="224"/>
      <c r="C31" s="224"/>
      <c r="D31" s="224"/>
      <c r="E31" s="224"/>
      <c r="F31" s="224"/>
      <c r="H31" s="115"/>
      <c r="I31" s="115"/>
      <c r="J31" s="115"/>
      <c r="K31" s="115"/>
    </row>
    <row r="32" spans="1:13" ht="27" customHeight="1">
      <c r="A32" s="90" t="s">
        <v>314</v>
      </c>
      <c r="B32" s="333" t="s">
        <v>276</v>
      </c>
      <c r="C32" s="333"/>
      <c r="D32" s="333"/>
      <c r="E32" s="333"/>
      <c r="F32" s="334"/>
    </row>
    <row r="33" spans="1:6" ht="26.4">
      <c r="A33" s="91" t="s">
        <v>3</v>
      </c>
      <c r="B33" s="92" t="s">
        <v>5</v>
      </c>
      <c r="C33" s="92" t="s">
        <v>6</v>
      </c>
      <c r="D33" s="154" t="s">
        <v>74</v>
      </c>
      <c r="E33" s="92" t="s">
        <v>40</v>
      </c>
      <c r="F33" s="93" t="s">
        <v>41</v>
      </c>
    </row>
    <row r="34" spans="1:6">
      <c r="A34" s="297" t="str">
        <f>"valor mês "&amp;A32</f>
        <v>valor mês Produto 2</v>
      </c>
      <c r="B34" s="237"/>
      <c r="C34" s="38"/>
      <c r="D34" s="243"/>
      <c r="E34" s="42"/>
      <c r="F34" s="238">
        <f>F35+F48+F54</f>
        <v>53761.456666912061</v>
      </c>
    </row>
    <row r="35" spans="1:6">
      <c r="A35" s="242">
        <v>1</v>
      </c>
      <c r="B35" s="237" t="s">
        <v>45</v>
      </c>
      <c r="C35" s="38"/>
      <c r="D35" s="243"/>
      <c r="E35" s="42"/>
      <c r="F35" s="238">
        <f>SUM(F36:F47)</f>
        <v>28825.397599483684</v>
      </c>
    </row>
    <row r="36" spans="1:6">
      <c r="A36" s="96"/>
      <c r="B36" s="239" t="s">
        <v>55</v>
      </c>
      <c r="C36" s="38" t="s">
        <v>46</v>
      </c>
      <c r="D36" s="251">
        <f>HLOOKUP(B36,'Estimativa de horas por produto'!$F$33:$P$85,21,0)</f>
        <v>14.666666666666666</v>
      </c>
      <c r="E36" s="148">
        <f>VLOOKUP(B36,'Custo mao de obra Dnit'!A:AB,28,0)</f>
        <v>49.84170454545454</v>
      </c>
      <c r="F36" s="236">
        <f t="shared" ref="F36:F39" si="3">D36*E36</f>
        <v>731.01166666666654</v>
      </c>
    </row>
    <row r="37" spans="1:6">
      <c r="A37" s="96"/>
      <c r="B37" s="239" t="s">
        <v>56</v>
      </c>
      <c r="C37" s="38" t="s">
        <v>46</v>
      </c>
      <c r="D37" s="251">
        <f>HLOOKUP(B37,'Estimativa de horas por produto'!$F$33:$P$85,21,0)</f>
        <v>7.333333333333333</v>
      </c>
      <c r="E37" s="148">
        <f>VLOOKUP(B37,'Custo mao de obra Dnit'!A:AB,28,0)</f>
        <v>65.018465909090907</v>
      </c>
      <c r="F37" s="236">
        <f t="shared" si="3"/>
        <v>476.80208333333331</v>
      </c>
    </row>
    <row r="38" spans="1:6">
      <c r="A38" s="96"/>
      <c r="B38" s="239" t="s">
        <v>57</v>
      </c>
      <c r="C38" s="38" t="s">
        <v>46</v>
      </c>
      <c r="D38" s="251">
        <f>HLOOKUP(B38,'Estimativa de horas por produto'!$F$33:$P$85,21,0)</f>
        <v>7.333333333333333</v>
      </c>
      <c r="E38" s="148">
        <f>VLOOKUP(B38,'Custo mao de obra Dnit'!A:AB,28,0)</f>
        <v>75.596358262926245</v>
      </c>
      <c r="F38" s="236">
        <f t="shared" si="3"/>
        <v>554.3732939281258</v>
      </c>
    </row>
    <row r="39" spans="1:6">
      <c r="A39" s="96"/>
      <c r="B39" s="239" t="s">
        <v>58</v>
      </c>
      <c r="C39" s="38" t="s">
        <v>46</v>
      </c>
      <c r="D39" s="251">
        <f>HLOOKUP(B39,'Estimativa de horas por produto'!$F$33:$P$85,21,0)</f>
        <v>19.555555555555554</v>
      </c>
      <c r="E39" s="148">
        <f>VLOOKUP(B39,'Custo mao de obra Dnit'!A:AB,28,0)</f>
        <v>53.100624999999994</v>
      </c>
      <c r="F39" s="236">
        <f t="shared" si="3"/>
        <v>1038.412222222222</v>
      </c>
    </row>
    <row r="40" spans="1:6">
      <c r="A40" s="96"/>
      <c r="B40" s="239" t="s">
        <v>59</v>
      </c>
      <c r="C40" s="38" t="s">
        <v>46</v>
      </c>
      <c r="D40" s="251">
        <f>HLOOKUP(B40,'Estimativa de horas por produto'!$F$33:$P$85,21,0)</f>
        <v>34.222222222222221</v>
      </c>
      <c r="E40" s="148">
        <f>VLOOKUP(B40,'Custo mao de obra Dnit'!A:AB,28,0)</f>
        <v>121.47482954545454</v>
      </c>
      <c r="F40" s="236">
        <f>D40*E40</f>
        <v>4157.1386111111105</v>
      </c>
    </row>
    <row r="41" spans="1:6">
      <c r="A41" s="96"/>
      <c r="B41" s="239" t="s">
        <v>60</v>
      </c>
      <c r="C41" s="38" t="s">
        <v>46</v>
      </c>
      <c r="D41" s="251">
        <f>HLOOKUP(B41,'Estimativa de horas por produto'!$F$33:$P$85,21,0)</f>
        <v>22</v>
      </c>
      <c r="E41" s="148">
        <f>VLOOKUP(B41,'Custo mao de obra Dnit'!A:AB,28,0)</f>
        <v>45.856761363636366</v>
      </c>
      <c r="F41" s="236">
        <f t="shared" ref="F41:F46" si="4">D41*E41</f>
        <v>1008.8487500000001</v>
      </c>
    </row>
    <row r="42" spans="1:6">
      <c r="A42" s="96"/>
      <c r="B42" s="239" t="s">
        <v>61</v>
      </c>
      <c r="C42" s="38" t="s">
        <v>46</v>
      </c>
      <c r="D42" s="251">
        <f>HLOOKUP(B42,'Estimativa de horas por produto'!$F$33:$P$85,21,0)</f>
        <v>7.333333333333333</v>
      </c>
      <c r="E42" s="148">
        <f>VLOOKUP(B42,'Custo mao de obra Dnit'!A:AB,28,0)</f>
        <v>95.24392045454546</v>
      </c>
      <c r="F42" s="236">
        <f t="shared" si="4"/>
        <v>698.45541666666668</v>
      </c>
    </row>
    <row r="43" spans="1:6">
      <c r="A43" s="96"/>
      <c r="B43" s="239" t="s">
        <v>62</v>
      </c>
      <c r="C43" s="38" t="s">
        <v>46</v>
      </c>
      <c r="D43" s="251">
        <f>HLOOKUP(B43,'Estimativa de horas por produto'!$F$33:$P$85,21,0)</f>
        <v>22</v>
      </c>
      <c r="E43" s="148">
        <f>VLOOKUP(B43,'Custo mao de obra Dnit'!A:AB,28,0)</f>
        <v>95.230852272727276</v>
      </c>
      <c r="F43" s="236">
        <f t="shared" si="4"/>
        <v>2095.0787500000001</v>
      </c>
    </row>
    <row r="44" spans="1:6">
      <c r="A44" s="96"/>
      <c r="B44" s="239" t="s">
        <v>63</v>
      </c>
      <c r="C44" s="38" t="s">
        <v>46</v>
      </c>
      <c r="D44" s="251">
        <f>HLOOKUP(B44,'Estimativa de horas por produto'!$F$33:$P$85,21,0)</f>
        <v>22</v>
      </c>
      <c r="E44" s="148">
        <f>VLOOKUP(B44,'Custo mao de obra Dnit'!A:AB,28,0)</f>
        <v>107.9440909090909</v>
      </c>
      <c r="F44" s="236">
        <f t="shared" si="4"/>
        <v>2374.77</v>
      </c>
    </row>
    <row r="45" spans="1:6">
      <c r="A45" s="96"/>
      <c r="B45" s="239" t="s">
        <v>64</v>
      </c>
      <c r="C45" s="38" t="s">
        <v>46</v>
      </c>
      <c r="D45" s="251">
        <f>HLOOKUP(B45,'Estimativa de horas por produto'!$F$33:$P$85,21,0)</f>
        <v>114.88888888888889</v>
      </c>
      <c r="E45" s="148">
        <f>VLOOKUP(B45,'Custo mao de obra Dnit'!A:AB,28,0)</f>
        <v>95.230852272727276</v>
      </c>
      <c r="F45" s="236">
        <f t="shared" si="4"/>
        <v>10940.966805555556</v>
      </c>
    </row>
    <row r="46" spans="1:6">
      <c r="A46" s="96"/>
      <c r="B46" s="239" t="s">
        <v>65</v>
      </c>
      <c r="C46" s="38" t="s">
        <v>46</v>
      </c>
      <c r="D46" s="251">
        <f>HLOOKUP(B46,'Estimativa de horas por produto'!$F$33:$P$85,21,0)</f>
        <v>44</v>
      </c>
      <c r="E46" s="148">
        <f>VLOOKUP(B46,'Custo mao de obra Dnit'!A:AB,28,0)</f>
        <v>107.9440909090909</v>
      </c>
      <c r="F46" s="236">
        <f t="shared" si="4"/>
        <v>4749.54</v>
      </c>
    </row>
    <row r="47" spans="1:6">
      <c r="A47" s="96"/>
      <c r="B47" s="239"/>
      <c r="C47" s="38"/>
      <c r="D47" s="251"/>
      <c r="E47" s="148"/>
      <c r="F47" s="236"/>
    </row>
    <row r="48" spans="1:6">
      <c r="A48" s="242">
        <v>2</v>
      </c>
      <c r="B48" s="237" t="s">
        <v>201</v>
      </c>
      <c r="C48" s="245"/>
      <c r="D48" s="243"/>
      <c r="E48" s="45"/>
      <c r="F48" s="238">
        <f>SUM(F49:F51)</f>
        <v>12559.225734095042</v>
      </c>
    </row>
    <row r="49" spans="1:6">
      <c r="A49" s="234"/>
      <c r="B49" s="239" t="s">
        <v>242</v>
      </c>
      <c r="C49" s="240" t="s">
        <v>19</v>
      </c>
      <c r="D49" s="244">
        <f>$F$35</f>
        <v>28825.397599483684</v>
      </c>
      <c r="E49" s="252">
        <f>'Custos diversos e BDI - DNIT'!$D$30/100</f>
        <v>0.11110000000000002</v>
      </c>
      <c r="F49" s="236">
        <f>D49*E49</f>
        <v>3202.5016733026378</v>
      </c>
    </row>
    <row r="50" spans="1:6">
      <c r="A50" s="234"/>
      <c r="B50" s="239" t="s">
        <v>224</v>
      </c>
      <c r="C50" s="240" t="s">
        <v>19</v>
      </c>
      <c r="D50" s="244">
        <f t="shared" ref="D50:D51" si="5">$F$35</f>
        <v>28825.397599483684</v>
      </c>
      <c r="E50" s="252">
        <f>'Custos diversos e BDI - DNIT'!$D$33/100</f>
        <v>0.12</v>
      </c>
      <c r="F50" s="236">
        <f t="shared" ref="F50:F51" si="6">D50*E50</f>
        <v>3459.0477119380421</v>
      </c>
    </row>
    <row r="51" spans="1:6">
      <c r="A51" s="234"/>
      <c r="B51" s="239" t="s">
        <v>225</v>
      </c>
      <c r="C51" s="240" t="s">
        <v>19</v>
      </c>
      <c r="D51" s="244">
        <f t="shared" si="5"/>
        <v>28825.397599483684</v>
      </c>
      <c r="E51" s="252">
        <f>'Custos diversos e BDI - DNIT'!$D$38/100</f>
        <v>0.2046</v>
      </c>
      <c r="F51" s="236">
        <f t="shared" si="6"/>
        <v>5897.676348854362</v>
      </c>
    </row>
    <row r="52" spans="1:6">
      <c r="A52" s="234"/>
      <c r="B52" s="239"/>
      <c r="C52" s="49"/>
      <c r="D52" s="244"/>
      <c r="E52" s="246"/>
      <c r="F52" s="238"/>
    </row>
    <row r="53" spans="1:6">
      <c r="A53" s="234"/>
      <c r="B53" s="239"/>
      <c r="C53" s="49"/>
      <c r="D53" s="244"/>
      <c r="E53" s="246"/>
      <c r="F53" s="236"/>
    </row>
    <row r="54" spans="1:6">
      <c r="A54" s="102">
        <v>3</v>
      </c>
      <c r="B54" s="103" t="s">
        <v>10</v>
      </c>
      <c r="C54" s="104" t="s">
        <v>46</v>
      </c>
      <c r="D54" s="105">
        <f>SUM(D36:D46)</f>
        <v>315.33333333333337</v>
      </c>
      <c r="E54" s="150">
        <f>'Custo Gerencial'!$G$48</f>
        <v>39.25</v>
      </c>
      <c r="F54" s="106">
        <f>D54*E54</f>
        <v>12376.833333333334</v>
      </c>
    </row>
    <row r="55" spans="1:6">
      <c r="A55" s="234"/>
      <c r="B55" s="239"/>
      <c r="C55" s="49"/>
      <c r="D55" s="244"/>
      <c r="E55" s="246"/>
      <c r="F55" s="236"/>
    </row>
    <row r="56" spans="1:6" ht="13.8" thickBot="1">
      <c r="A56" s="107"/>
      <c r="B56" s="247" t="s">
        <v>73</v>
      </c>
      <c r="C56" s="109" t="s">
        <v>21</v>
      </c>
      <c r="D56" s="110">
        <v>1</v>
      </c>
      <c r="E56" s="223">
        <f>F34</f>
        <v>53761.456666912061</v>
      </c>
      <c r="F56" s="112">
        <f>E56*D56</f>
        <v>53761.456666912061</v>
      </c>
    </row>
    <row r="58" spans="1:6" ht="13.8" thickBot="1"/>
    <row r="59" spans="1:6" ht="27" customHeight="1">
      <c r="A59" s="90" t="s">
        <v>315</v>
      </c>
      <c r="B59" s="335" t="s">
        <v>277</v>
      </c>
      <c r="C59" s="335"/>
      <c r="D59" s="335"/>
      <c r="E59" s="335"/>
      <c r="F59" s="336"/>
    </row>
    <row r="60" spans="1:6" ht="26.4">
      <c r="A60" s="91" t="s">
        <v>3</v>
      </c>
      <c r="B60" s="92" t="s">
        <v>5</v>
      </c>
      <c r="C60" s="92" t="s">
        <v>6</v>
      </c>
      <c r="D60" s="154" t="s">
        <v>74</v>
      </c>
      <c r="E60" s="92" t="s">
        <v>40</v>
      </c>
      <c r="F60" s="93" t="s">
        <v>41</v>
      </c>
    </row>
    <row r="61" spans="1:6">
      <c r="A61" s="297" t="str">
        <f>"valor mês "&amp;A59</f>
        <v>valor mês Produto 3</v>
      </c>
      <c r="B61" s="237"/>
      <c r="C61" s="38"/>
      <c r="D61" s="243"/>
      <c r="E61" s="42"/>
      <c r="F61" s="238">
        <f>F62+F75+F81</f>
        <v>53761.456666912061</v>
      </c>
    </row>
    <row r="62" spans="1:6">
      <c r="A62" s="242">
        <v>1</v>
      </c>
      <c r="B62" s="237" t="s">
        <v>45</v>
      </c>
      <c r="C62" s="38"/>
      <c r="D62" s="243"/>
      <c r="E62" s="42"/>
      <c r="F62" s="238">
        <f>SUM(F63:F74)</f>
        <v>28825.397599483684</v>
      </c>
    </row>
    <row r="63" spans="1:6">
      <c r="A63" s="96"/>
      <c r="B63" s="239" t="s">
        <v>55</v>
      </c>
      <c r="C63" s="38" t="s">
        <v>46</v>
      </c>
      <c r="D63" s="251">
        <f>HLOOKUP(B63,'Estimativa de horas por produto'!$F$33:$P$85,22,0)</f>
        <v>14.666666666666666</v>
      </c>
      <c r="E63" s="148">
        <f>VLOOKUP(B63,'Custo mao de obra Dnit'!A:AB,28,0)</f>
        <v>49.84170454545454</v>
      </c>
      <c r="F63" s="236">
        <f t="shared" ref="F63:F66" si="7">D63*E63</f>
        <v>731.01166666666654</v>
      </c>
    </row>
    <row r="64" spans="1:6">
      <c r="A64" s="96"/>
      <c r="B64" s="239" t="s">
        <v>56</v>
      </c>
      <c r="C64" s="38" t="s">
        <v>46</v>
      </c>
      <c r="D64" s="251">
        <f>HLOOKUP(B64,'Estimativa de horas por produto'!$F$33:$P$85,22,0)</f>
        <v>7.333333333333333</v>
      </c>
      <c r="E64" s="148">
        <f>VLOOKUP(B64,'Custo mao de obra Dnit'!A:AB,28,0)</f>
        <v>65.018465909090907</v>
      </c>
      <c r="F64" s="236">
        <f t="shared" si="7"/>
        <v>476.80208333333331</v>
      </c>
    </row>
    <row r="65" spans="1:6">
      <c r="A65" s="96"/>
      <c r="B65" s="239" t="s">
        <v>57</v>
      </c>
      <c r="C65" s="38" t="s">
        <v>46</v>
      </c>
      <c r="D65" s="251">
        <f>HLOOKUP(B65,'Estimativa de horas por produto'!$F$33:$P$85,22,0)</f>
        <v>7.333333333333333</v>
      </c>
      <c r="E65" s="148">
        <f>VLOOKUP(B65,'Custo mao de obra Dnit'!A:AB,28,0)</f>
        <v>75.596358262926245</v>
      </c>
      <c r="F65" s="236">
        <f t="shared" si="7"/>
        <v>554.3732939281258</v>
      </c>
    </row>
    <row r="66" spans="1:6">
      <c r="A66" s="96"/>
      <c r="B66" s="239" t="s">
        <v>58</v>
      </c>
      <c r="C66" s="38" t="s">
        <v>46</v>
      </c>
      <c r="D66" s="251">
        <f>HLOOKUP(B66,'Estimativa de horas por produto'!$F$33:$P$85,22,0)</f>
        <v>19.555555555555554</v>
      </c>
      <c r="E66" s="148">
        <f>VLOOKUP(B66,'Custo mao de obra Dnit'!A:AB,28,0)</f>
        <v>53.100624999999994</v>
      </c>
      <c r="F66" s="236">
        <f t="shared" si="7"/>
        <v>1038.412222222222</v>
      </c>
    </row>
    <row r="67" spans="1:6">
      <c r="A67" s="96"/>
      <c r="B67" s="239" t="s">
        <v>59</v>
      </c>
      <c r="C67" s="38" t="s">
        <v>46</v>
      </c>
      <c r="D67" s="251">
        <f>HLOOKUP(B67,'Estimativa de horas por produto'!$F$33:$P$85,22,0)</f>
        <v>34.222222222222221</v>
      </c>
      <c r="E67" s="148">
        <f>VLOOKUP(B67,'Custo mao de obra Dnit'!A:AB,28,0)</f>
        <v>121.47482954545454</v>
      </c>
      <c r="F67" s="236">
        <f>D67*E67</f>
        <v>4157.1386111111105</v>
      </c>
    </row>
    <row r="68" spans="1:6">
      <c r="A68" s="96"/>
      <c r="B68" s="239" t="s">
        <v>60</v>
      </c>
      <c r="C68" s="38" t="s">
        <v>46</v>
      </c>
      <c r="D68" s="251">
        <f>HLOOKUP(B68,'Estimativa de horas por produto'!$F$33:$P$85,22,0)</f>
        <v>22</v>
      </c>
      <c r="E68" s="148">
        <f>VLOOKUP(B68,'Custo mao de obra Dnit'!A:AB,28,0)</f>
        <v>45.856761363636366</v>
      </c>
      <c r="F68" s="236">
        <f t="shared" ref="F68:F73" si="8">D68*E68</f>
        <v>1008.8487500000001</v>
      </c>
    </row>
    <row r="69" spans="1:6">
      <c r="A69" s="96"/>
      <c r="B69" s="239" t="s">
        <v>61</v>
      </c>
      <c r="C69" s="38" t="s">
        <v>46</v>
      </c>
      <c r="D69" s="251">
        <f>HLOOKUP(B69,'Estimativa de horas por produto'!$F$33:$P$85,22,0)</f>
        <v>7.333333333333333</v>
      </c>
      <c r="E69" s="148">
        <f>VLOOKUP(B69,'Custo mao de obra Dnit'!A:AB,28,0)</f>
        <v>95.24392045454546</v>
      </c>
      <c r="F69" s="236">
        <f t="shared" si="8"/>
        <v>698.45541666666668</v>
      </c>
    </row>
    <row r="70" spans="1:6">
      <c r="A70" s="96"/>
      <c r="B70" s="239" t="s">
        <v>62</v>
      </c>
      <c r="C70" s="38" t="s">
        <v>46</v>
      </c>
      <c r="D70" s="251">
        <f>HLOOKUP(B70,'Estimativa de horas por produto'!$F$33:$P$85,22,0)</f>
        <v>22</v>
      </c>
      <c r="E70" s="148">
        <f>VLOOKUP(B70,'Custo mao de obra Dnit'!A:AB,28,0)</f>
        <v>95.230852272727276</v>
      </c>
      <c r="F70" s="236">
        <f t="shared" si="8"/>
        <v>2095.0787500000001</v>
      </c>
    </row>
    <row r="71" spans="1:6">
      <c r="A71" s="96"/>
      <c r="B71" s="239" t="s">
        <v>63</v>
      </c>
      <c r="C71" s="38" t="s">
        <v>46</v>
      </c>
      <c r="D71" s="251">
        <f>HLOOKUP(B71,'Estimativa de horas por produto'!$F$33:$P$85,22,0)</f>
        <v>22</v>
      </c>
      <c r="E71" s="148">
        <f>VLOOKUP(B71,'Custo mao de obra Dnit'!A:AB,28,0)</f>
        <v>107.9440909090909</v>
      </c>
      <c r="F71" s="236">
        <f t="shared" si="8"/>
        <v>2374.77</v>
      </c>
    </row>
    <row r="72" spans="1:6">
      <c r="A72" s="96"/>
      <c r="B72" s="239" t="s">
        <v>64</v>
      </c>
      <c r="C72" s="38" t="s">
        <v>46</v>
      </c>
      <c r="D72" s="251">
        <f>HLOOKUP(B72,'Estimativa de horas por produto'!$F$33:$P$85,22,0)</f>
        <v>114.88888888888889</v>
      </c>
      <c r="E72" s="148">
        <f>VLOOKUP(B72,'Custo mao de obra Dnit'!A:AB,28,0)</f>
        <v>95.230852272727276</v>
      </c>
      <c r="F72" s="236">
        <f t="shared" si="8"/>
        <v>10940.966805555556</v>
      </c>
    </row>
    <row r="73" spans="1:6">
      <c r="A73" s="96"/>
      <c r="B73" s="239" t="s">
        <v>65</v>
      </c>
      <c r="C73" s="38" t="s">
        <v>46</v>
      </c>
      <c r="D73" s="251">
        <f>HLOOKUP(B73,'Estimativa de horas por produto'!$F$33:$P$85,22,0)</f>
        <v>44</v>
      </c>
      <c r="E73" s="148">
        <f>VLOOKUP(B73,'Custo mao de obra Dnit'!A:AB,28,0)</f>
        <v>107.9440909090909</v>
      </c>
      <c r="F73" s="236">
        <f t="shared" si="8"/>
        <v>4749.54</v>
      </c>
    </row>
    <row r="74" spans="1:6">
      <c r="A74" s="96"/>
      <c r="B74" s="239"/>
      <c r="C74" s="38"/>
      <c r="D74" s="251"/>
      <c r="E74" s="148"/>
      <c r="F74" s="236"/>
    </row>
    <row r="75" spans="1:6">
      <c r="A75" s="242">
        <v>2</v>
      </c>
      <c r="B75" s="237" t="s">
        <v>201</v>
      </c>
      <c r="C75" s="245"/>
      <c r="D75" s="243"/>
      <c r="E75" s="45"/>
      <c r="F75" s="238">
        <f>SUM(F76:F78)</f>
        <v>12559.225734095042</v>
      </c>
    </row>
    <row r="76" spans="1:6">
      <c r="A76" s="234"/>
      <c r="B76" s="239" t="s">
        <v>242</v>
      </c>
      <c r="C76" s="240" t="s">
        <v>19</v>
      </c>
      <c r="D76" s="244">
        <f>$F$62</f>
        <v>28825.397599483684</v>
      </c>
      <c r="E76" s="252">
        <f>'Custos diversos e BDI - DNIT'!$D$30/100</f>
        <v>0.11110000000000002</v>
      </c>
      <c r="F76" s="236">
        <f>D76*E76</f>
        <v>3202.5016733026378</v>
      </c>
    </row>
    <row r="77" spans="1:6">
      <c r="A77" s="234"/>
      <c r="B77" s="239" t="s">
        <v>224</v>
      </c>
      <c r="C77" s="240" t="s">
        <v>19</v>
      </c>
      <c r="D77" s="244">
        <f>$F$62</f>
        <v>28825.397599483684</v>
      </c>
      <c r="E77" s="252">
        <f>'Custos diversos e BDI - DNIT'!$D$33/100</f>
        <v>0.12</v>
      </c>
      <c r="F77" s="236">
        <f t="shared" ref="F77:F78" si="9">D77*E77</f>
        <v>3459.0477119380421</v>
      </c>
    </row>
    <row r="78" spans="1:6">
      <c r="A78" s="234"/>
      <c r="B78" s="239" t="s">
        <v>225</v>
      </c>
      <c r="C78" s="240" t="s">
        <v>19</v>
      </c>
      <c r="D78" s="244">
        <f>$F$62</f>
        <v>28825.397599483684</v>
      </c>
      <c r="E78" s="252">
        <f>'Custos diversos e BDI - DNIT'!$D$38/100</f>
        <v>0.2046</v>
      </c>
      <c r="F78" s="236">
        <f t="shared" si="9"/>
        <v>5897.676348854362</v>
      </c>
    </row>
    <row r="79" spans="1:6">
      <c r="A79" s="234"/>
      <c r="B79" s="239"/>
      <c r="C79" s="49"/>
      <c r="D79" s="244"/>
      <c r="E79" s="246"/>
      <c r="F79" s="238"/>
    </row>
    <row r="80" spans="1:6">
      <c r="A80" s="234"/>
      <c r="B80" s="239"/>
      <c r="C80" s="49"/>
      <c r="D80" s="244"/>
      <c r="E80" s="246"/>
      <c r="F80" s="236"/>
    </row>
    <row r="81" spans="1:6">
      <c r="A81" s="102">
        <v>3</v>
      </c>
      <c r="B81" s="103" t="s">
        <v>10</v>
      </c>
      <c r="C81" s="104" t="s">
        <v>46</v>
      </c>
      <c r="D81" s="105">
        <f>SUM(D63:D73)</f>
        <v>315.33333333333337</v>
      </c>
      <c r="E81" s="150">
        <f>'Custo Gerencial'!$G$48</f>
        <v>39.25</v>
      </c>
      <c r="F81" s="106">
        <f>D81*E81</f>
        <v>12376.833333333334</v>
      </c>
    </row>
    <row r="82" spans="1:6">
      <c r="A82" s="234"/>
      <c r="B82" s="239"/>
      <c r="C82" s="49"/>
      <c r="D82" s="244"/>
      <c r="E82" s="246"/>
      <c r="F82" s="236"/>
    </row>
    <row r="83" spans="1:6" ht="13.8" thickBot="1">
      <c r="A83" s="107"/>
      <c r="B83" s="247" t="s">
        <v>73</v>
      </c>
      <c r="C83" s="109" t="s">
        <v>21</v>
      </c>
      <c r="D83" s="110">
        <v>1</v>
      </c>
      <c r="E83" s="223">
        <f>F61</f>
        <v>53761.456666912061</v>
      </c>
      <c r="F83" s="112">
        <f>E83*D83</f>
        <v>53761.456666912061</v>
      </c>
    </row>
    <row r="85" spans="1:6" ht="13.8" thickBot="1"/>
    <row r="86" spans="1:6" ht="27" customHeight="1">
      <c r="A86" s="90" t="s">
        <v>316</v>
      </c>
      <c r="B86" s="335" t="s">
        <v>278</v>
      </c>
      <c r="C86" s="335"/>
      <c r="D86" s="335"/>
      <c r="E86" s="335"/>
      <c r="F86" s="336"/>
    </row>
    <row r="87" spans="1:6" ht="26.4">
      <c r="A87" s="91" t="s">
        <v>3</v>
      </c>
      <c r="B87" s="92" t="s">
        <v>5</v>
      </c>
      <c r="C87" s="92" t="s">
        <v>6</v>
      </c>
      <c r="D87" s="154" t="s">
        <v>74</v>
      </c>
      <c r="E87" s="92" t="s">
        <v>40</v>
      </c>
      <c r="F87" s="93" t="s">
        <v>41</v>
      </c>
    </row>
    <row r="88" spans="1:6">
      <c r="A88" s="297" t="str">
        <f>"valor mês "&amp;A86</f>
        <v>valor mês Produto 4</v>
      </c>
      <c r="B88" s="237"/>
      <c r="C88" s="38"/>
      <c r="D88" s="243"/>
      <c r="E88" s="42"/>
      <c r="F88" s="238">
        <f>F89+F102+F108</f>
        <v>53761.456666912061</v>
      </c>
    </row>
    <row r="89" spans="1:6">
      <c r="A89" s="242">
        <v>1</v>
      </c>
      <c r="B89" s="237" t="s">
        <v>45</v>
      </c>
      <c r="C89" s="38"/>
      <c r="D89" s="243"/>
      <c r="E89" s="42"/>
      <c r="F89" s="238">
        <f>SUM(F90:F101)</f>
        <v>28825.397599483684</v>
      </c>
    </row>
    <row r="90" spans="1:6">
      <c r="A90" s="96"/>
      <c r="B90" s="239" t="s">
        <v>55</v>
      </c>
      <c r="C90" s="38" t="s">
        <v>46</v>
      </c>
      <c r="D90" s="251">
        <f>HLOOKUP(B90,'Estimativa de horas por produto'!$F$33:$P$85,23,0)</f>
        <v>14.666666666666666</v>
      </c>
      <c r="E90" s="148">
        <f>VLOOKUP(B90,'Custo mao de obra Dnit'!A:AB,28,0)</f>
        <v>49.84170454545454</v>
      </c>
      <c r="F90" s="236">
        <f t="shared" ref="F90:F93" si="10">D90*E90</f>
        <v>731.01166666666654</v>
      </c>
    </row>
    <row r="91" spans="1:6">
      <c r="A91" s="96"/>
      <c r="B91" s="239" t="s">
        <v>56</v>
      </c>
      <c r="C91" s="38" t="s">
        <v>46</v>
      </c>
      <c r="D91" s="251">
        <f>HLOOKUP(B91,'Estimativa de horas por produto'!$F$33:$P$85,23,0)</f>
        <v>7.333333333333333</v>
      </c>
      <c r="E91" s="148">
        <f>VLOOKUP(B91,'Custo mao de obra Dnit'!A:AB,28,0)</f>
        <v>65.018465909090907</v>
      </c>
      <c r="F91" s="236">
        <f t="shared" si="10"/>
        <v>476.80208333333331</v>
      </c>
    </row>
    <row r="92" spans="1:6">
      <c r="A92" s="96"/>
      <c r="B92" s="239" t="s">
        <v>57</v>
      </c>
      <c r="C92" s="38" t="s">
        <v>46</v>
      </c>
      <c r="D92" s="251">
        <f>HLOOKUP(B92,'Estimativa de horas por produto'!$F$33:$P$85,23,0)</f>
        <v>7.333333333333333</v>
      </c>
      <c r="E92" s="148">
        <f>VLOOKUP(B92,'Custo mao de obra Dnit'!A:AB,28,0)</f>
        <v>75.596358262926245</v>
      </c>
      <c r="F92" s="236">
        <f t="shared" si="10"/>
        <v>554.3732939281258</v>
      </c>
    </row>
    <row r="93" spans="1:6">
      <c r="A93" s="96"/>
      <c r="B93" s="239" t="s">
        <v>58</v>
      </c>
      <c r="C93" s="38" t="s">
        <v>46</v>
      </c>
      <c r="D93" s="251">
        <f>HLOOKUP(B93,'Estimativa de horas por produto'!$F$33:$P$85,23,0)</f>
        <v>19.555555555555554</v>
      </c>
      <c r="E93" s="148">
        <f>VLOOKUP(B93,'Custo mao de obra Dnit'!A:AB,28,0)</f>
        <v>53.100624999999994</v>
      </c>
      <c r="F93" s="236">
        <f t="shared" si="10"/>
        <v>1038.412222222222</v>
      </c>
    </row>
    <row r="94" spans="1:6">
      <c r="A94" s="96"/>
      <c r="B94" s="239" t="s">
        <v>59</v>
      </c>
      <c r="C94" s="38" t="s">
        <v>46</v>
      </c>
      <c r="D94" s="251">
        <f>HLOOKUP(B94,'Estimativa de horas por produto'!$F$33:$P$85,23,0)</f>
        <v>34.222222222222221</v>
      </c>
      <c r="E94" s="148">
        <f>VLOOKUP(B94,'Custo mao de obra Dnit'!A:AB,28,0)</f>
        <v>121.47482954545454</v>
      </c>
      <c r="F94" s="236">
        <f>D94*E94</f>
        <v>4157.1386111111105</v>
      </c>
    </row>
    <row r="95" spans="1:6">
      <c r="A95" s="96"/>
      <c r="B95" s="239" t="s">
        <v>60</v>
      </c>
      <c r="C95" s="38" t="s">
        <v>46</v>
      </c>
      <c r="D95" s="251">
        <f>HLOOKUP(B95,'Estimativa de horas por produto'!$F$33:$P$85,23,0)</f>
        <v>22</v>
      </c>
      <c r="E95" s="148">
        <f>VLOOKUP(B95,'Custo mao de obra Dnit'!A:AB,28,0)</f>
        <v>45.856761363636366</v>
      </c>
      <c r="F95" s="236">
        <f t="shared" ref="F95:F100" si="11">D95*E95</f>
        <v>1008.8487500000001</v>
      </c>
    </row>
    <row r="96" spans="1:6">
      <c r="A96" s="96"/>
      <c r="B96" s="239" t="s">
        <v>61</v>
      </c>
      <c r="C96" s="38" t="s">
        <v>46</v>
      </c>
      <c r="D96" s="251">
        <f>HLOOKUP(B96,'Estimativa de horas por produto'!$F$33:$P$85,23,0)</f>
        <v>7.333333333333333</v>
      </c>
      <c r="E96" s="148">
        <f>VLOOKUP(B96,'Custo mao de obra Dnit'!A:AB,28,0)</f>
        <v>95.24392045454546</v>
      </c>
      <c r="F96" s="236">
        <f t="shared" si="11"/>
        <v>698.45541666666668</v>
      </c>
    </row>
    <row r="97" spans="1:6">
      <c r="A97" s="96"/>
      <c r="B97" s="239" t="s">
        <v>62</v>
      </c>
      <c r="C97" s="38" t="s">
        <v>46</v>
      </c>
      <c r="D97" s="251">
        <f>HLOOKUP(B97,'Estimativa de horas por produto'!$F$33:$P$85,23,0)</f>
        <v>22</v>
      </c>
      <c r="E97" s="148">
        <f>VLOOKUP(B97,'Custo mao de obra Dnit'!A:AB,28,0)</f>
        <v>95.230852272727276</v>
      </c>
      <c r="F97" s="236">
        <f t="shared" si="11"/>
        <v>2095.0787500000001</v>
      </c>
    </row>
    <row r="98" spans="1:6">
      <c r="A98" s="96"/>
      <c r="B98" s="239" t="s">
        <v>63</v>
      </c>
      <c r="C98" s="38" t="s">
        <v>46</v>
      </c>
      <c r="D98" s="251">
        <f>HLOOKUP(B98,'Estimativa de horas por produto'!$F$33:$P$85,23,0)</f>
        <v>22</v>
      </c>
      <c r="E98" s="148">
        <f>VLOOKUP(B98,'Custo mao de obra Dnit'!A:AB,28,0)</f>
        <v>107.9440909090909</v>
      </c>
      <c r="F98" s="236">
        <f t="shared" si="11"/>
        <v>2374.77</v>
      </c>
    </row>
    <row r="99" spans="1:6">
      <c r="A99" s="96"/>
      <c r="B99" s="239" t="s">
        <v>64</v>
      </c>
      <c r="C99" s="38" t="s">
        <v>46</v>
      </c>
      <c r="D99" s="251">
        <f>HLOOKUP(B99,'Estimativa de horas por produto'!$F$33:$P$85,23,0)</f>
        <v>114.88888888888889</v>
      </c>
      <c r="E99" s="148">
        <f>VLOOKUP(B99,'Custo mao de obra Dnit'!A:AB,28,0)</f>
        <v>95.230852272727276</v>
      </c>
      <c r="F99" s="236">
        <f t="shared" si="11"/>
        <v>10940.966805555556</v>
      </c>
    </row>
    <row r="100" spans="1:6">
      <c r="A100" s="96"/>
      <c r="B100" s="239" t="s">
        <v>65</v>
      </c>
      <c r="C100" s="38" t="s">
        <v>46</v>
      </c>
      <c r="D100" s="251">
        <f>HLOOKUP(B100,'Estimativa de horas por produto'!$F$33:$P$85,23,0)</f>
        <v>44</v>
      </c>
      <c r="E100" s="148">
        <f>VLOOKUP(B100,'Custo mao de obra Dnit'!A:AB,28,0)</f>
        <v>107.9440909090909</v>
      </c>
      <c r="F100" s="236">
        <f t="shared" si="11"/>
        <v>4749.54</v>
      </c>
    </row>
    <row r="101" spans="1:6">
      <c r="A101" s="96"/>
      <c r="B101" s="239"/>
      <c r="C101" s="38"/>
      <c r="D101" s="251"/>
      <c r="E101" s="148"/>
      <c r="F101" s="236"/>
    </row>
    <row r="102" spans="1:6">
      <c r="A102" s="242">
        <v>2</v>
      </c>
      <c r="B102" s="237" t="s">
        <v>201</v>
      </c>
      <c r="C102" s="245"/>
      <c r="D102" s="243"/>
      <c r="E102" s="45"/>
      <c r="F102" s="238">
        <f>SUM(F103:F105)</f>
        <v>12559.225734095042</v>
      </c>
    </row>
    <row r="103" spans="1:6">
      <c r="A103" s="234"/>
      <c r="B103" s="239" t="s">
        <v>242</v>
      </c>
      <c r="C103" s="240" t="s">
        <v>19</v>
      </c>
      <c r="D103" s="244">
        <f>$F$89</f>
        <v>28825.397599483684</v>
      </c>
      <c r="E103" s="252">
        <f>'Custos diversos e BDI - DNIT'!$D$30/100</f>
        <v>0.11110000000000002</v>
      </c>
      <c r="F103" s="236">
        <f>D103*E103</f>
        <v>3202.5016733026378</v>
      </c>
    </row>
    <row r="104" spans="1:6">
      <c r="A104" s="234"/>
      <c r="B104" s="239" t="s">
        <v>224</v>
      </c>
      <c r="C104" s="240" t="s">
        <v>19</v>
      </c>
      <c r="D104" s="244">
        <f t="shared" ref="D104:D105" si="12">$F$89</f>
        <v>28825.397599483684</v>
      </c>
      <c r="E104" s="252">
        <f>'Custos diversos e BDI - DNIT'!$D$33/100</f>
        <v>0.12</v>
      </c>
      <c r="F104" s="236">
        <f t="shared" ref="F104:F105" si="13">D104*E104</f>
        <v>3459.0477119380421</v>
      </c>
    </row>
    <row r="105" spans="1:6">
      <c r="A105" s="234"/>
      <c r="B105" s="239" t="s">
        <v>225</v>
      </c>
      <c r="C105" s="240" t="s">
        <v>19</v>
      </c>
      <c r="D105" s="244">
        <f t="shared" si="12"/>
        <v>28825.397599483684</v>
      </c>
      <c r="E105" s="252">
        <f>'Custos diversos e BDI - DNIT'!$D$38/100</f>
        <v>0.2046</v>
      </c>
      <c r="F105" s="236">
        <f t="shared" si="13"/>
        <v>5897.676348854362</v>
      </c>
    </row>
    <row r="106" spans="1:6">
      <c r="A106" s="234"/>
      <c r="B106" s="239"/>
      <c r="C106" s="49"/>
      <c r="D106" s="244"/>
      <c r="E106" s="246"/>
      <c r="F106" s="238"/>
    </row>
    <row r="107" spans="1:6">
      <c r="A107" s="234"/>
      <c r="B107" s="239"/>
      <c r="C107" s="49"/>
      <c r="D107" s="244"/>
      <c r="E107" s="246"/>
      <c r="F107" s="236"/>
    </row>
    <row r="108" spans="1:6">
      <c r="A108" s="102">
        <v>3</v>
      </c>
      <c r="B108" s="103" t="s">
        <v>10</v>
      </c>
      <c r="C108" s="104" t="s">
        <v>46</v>
      </c>
      <c r="D108" s="105">
        <f>SUM(D90:D100)</f>
        <v>315.33333333333337</v>
      </c>
      <c r="E108" s="150">
        <f>'Custo Gerencial'!$G$48</f>
        <v>39.25</v>
      </c>
      <c r="F108" s="106">
        <f>D108*E108</f>
        <v>12376.833333333334</v>
      </c>
    </row>
    <row r="109" spans="1:6">
      <c r="A109" s="234"/>
      <c r="B109" s="239"/>
      <c r="C109" s="49"/>
      <c r="D109" s="244"/>
      <c r="E109" s="246"/>
      <c r="F109" s="236"/>
    </row>
    <row r="110" spans="1:6" ht="13.8" thickBot="1">
      <c r="A110" s="107"/>
      <c r="B110" s="247" t="s">
        <v>73</v>
      </c>
      <c r="C110" s="109" t="s">
        <v>21</v>
      </c>
      <c r="D110" s="110">
        <v>1</v>
      </c>
      <c r="E110" s="223">
        <f>F88</f>
        <v>53761.456666912061</v>
      </c>
      <c r="F110" s="112">
        <f>E110*D110</f>
        <v>53761.456666912061</v>
      </c>
    </row>
  </sheetData>
  <sheetProtection algorithmName="SHA-512" hashValue="vIX2eNb8ftvZo3ry2CIQP7faR6XRo+6OBWfauYiqWmzrPwYJBiviPYdWcDVV5+yG6NRa8zoHa73RoWNwHJwBBA==" saltValue="er+8+A83vSsHL/pv4/EnfA==" spinCount="100000" sheet="1" objects="1" scenarios="1"/>
  <autoFilter ref="L5:M26"/>
  <mergeCells count="7">
    <mergeCell ref="H5:J5"/>
    <mergeCell ref="B32:F32"/>
    <mergeCell ref="B59:F59"/>
    <mergeCell ref="B86:F86"/>
    <mergeCell ref="A1:B1"/>
    <mergeCell ref="C1:E1"/>
    <mergeCell ref="B5:F5"/>
  </mergeCells>
  <printOptions horizontalCentered="1"/>
  <pageMargins left="0.39370078740157483" right="0.39370078740157483" top="1.1811023622047245" bottom="0.59055118110236227" header="0.39370078740157483" footer="0.39370078740157483"/>
  <pageSetup paperSize="9" scale="50" firstPageNumber="0" fitToHeight="0" orientation="portrait" r:id="rId1"/>
  <headerFooter alignWithMargins="0">
    <oddHeader>&amp;L&amp;G</oddHeader>
    <oddFooter>&amp;A</oddFooter>
  </headerFooter>
  <rowBreaks count="1" manualBreakCount="1">
    <brk id="85" max="5" man="1"/>
  </row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M262"/>
  <sheetViews>
    <sheetView showGridLines="0" zoomScale="85" zoomScaleNormal="85" zoomScaleSheetLayoutView="85" zoomScalePageLayoutView="85" workbookViewId="0">
      <pane ySplit="1" topLeftCell="A2" activePane="bottomLeft" state="frozen"/>
      <selection activeCell="Q146" sqref="Q146"/>
      <selection pane="bottomLeft" activeCell="A2" sqref="A2"/>
    </sheetView>
  </sheetViews>
  <sheetFormatPr defaultColWidth="8.6640625" defaultRowHeight="13.2"/>
  <cols>
    <col min="1" max="1" width="12.44140625" style="70" customWidth="1"/>
    <col min="2" max="2" width="72.5546875" style="70" customWidth="1"/>
    <col min="3" max="3" width="12.6640625" style="70" customWidth="1"/>
    <col min="4" max="4" width="13.5546875" style="86" customWidth="1"/>
    <col min="5" max="5" width="14.44140625" style="86" customWidth="1"/>
    <col min="6" max="6" width="15.109375" style="86" customWidth="1"/>
    <col min="7" max="7" width="13.109375" style="86" bestFit="1" customWidth="1"/>
    <col min="8" max="8" width="14.6640625" style="86" customWidth="1"/>
    <col min="9" max="9" width="13.33203125" style="86" customWidth="1"/>
    <col min="10" max="10" width="18.5546875" style="86" customWidth="1"/>
    <col min="11" max="12" width="8.6640625" style="86" customWidth="1"/>
    <col min="13" max="218" width="8.6640625" style="86"/>
    <col min="219" max="219" width="12.6640625" style="86" customWidth="1"/>
    <col min="220" max="220" width="60.33203125" style="86" customWidth="1"/>
    <col min="221" max="222" width="12.6640625" style="86" customWidth="1"/>
    <col min="223" max="223" width="12.33203125" style="86" bestFit="1" customWidth="1"/>
    <col min="224" max="224" width="15.6640625" style="86" customWidth="1"/>
    <col min="225" max="225" width="17.6640625" style="86" bestFit="1" customWidth="1"/>
    <col min="226" max="226" width="8.6640625" style="86"/>
    <col min="227" max="227" width="18" style="86" bestFit="1" customWidth="1"/>
    <col min="228" max="229" width="8.6640625" style="86"/>
    <col min="230" max="230" width="21.6640625" style="86" customWidth="1"/>
    <col min="231" max="231" width="9.44140625" style="86" bestFit="1" customWidth="1"/>
    <col min="232" max="474" width="8.6640625" style="86"/>
    <col min="475" max="475" width="12.6640625" style="86" customWidth="1"/>
    <col min="476" max="476" width="60.33203125" style="86" customWidth="1"/>
    <col min="477" max="478" width="12.6640625" style="86" customWidth="1"/>
    <col min="479" max="479" width="12.33203125" style="86" bestFit="1" customWidth="1"/>
    <col min="480" max="480" width="15.6640625" style="86" customWidth="1"/>
    <col min="481" max="481" width="17.6640625" style="86" bestFit="1" customWidth="1"/>
    <col min="482" max="482" width="8.6640625" style="86"/>
    <col min="483" max="483" width="18" style="86" bestFit="1" customWidth="1"/>
    <col min="484" max="485" width="8.6640625" style="86"/>
    <col min="486" max="486" width="21.6640625" style="86" customWidth="1"/>
    <col min="487" max="487" width="9.44140625" style="86" bestFit="1" customWidth="1"/>
    <col min="488" max="730" width="8.6640625" style="86"/>
    <col min="731" max="731" width="12.6640625" style="86" customWidth="1"/>
    <col min="732" max="732" width="60.33203125" style="86" customWidth="1"/>
    <col min="733" max="734" width="12.6640625" style="86" customWidth="1"/>
    <col min="735" max="735" width="12.33203125" style="86" bestFit="1" customWidth="1"/>
    <col min="736" max="736" width="15.6640625" style="86" customWidth="1"/>
    <col min="737" max="737" width="17.6640625" style="86" bestFit="1" customWidth="1"/>
    <col min="738" max="738" width="8.6640625" style="86"/>
    <col min="739" max="739" width="18" style="86" bestFit="1" customWidth="1"/>
    <col min="740" max="741" width="8.6640625" style="86"/>
    <col min="742" max="742" width="21.6640625" style="86" customWidth="1"/>
    <col min="743" max="743" width="9.44140625" style="86" bestFit="1" customWidth="1"/>
    <col min="744" max="986" width="8.6640625" style="86"/>
    <col min="987" max="987" width="12.6640625" style="86" customWidth="1"/>
    <col min="988" max="988" width="60.33203125" style="86" customWidth="1"/>
    <col min="989" max="990" width="12.6640625" style="86" customWidth="1"/>
    <col min="991" max="991" width="12.33203125" style="86" bestFit="1" customWidth="1"/>
    <col min="992" max="992" width="15.6640625" style="86" customWidth="1"/>
    <col min="993" max="993" width="17.6640625" style="86" bestFit="1" customWidth="1"/>
    <col min="994" max="994" width="8.6640625" style="86"/>
    <col min="995" max="995" width="18" style="86" bestFit="1" customWidth="1"/>
    <col min="996" max="997" width="8.6640625" style="86"/>
    <col min="998" max="998" width="21.6640625" style="86" customWidth="1"/>
    <col min="999" max="999" width="9.44140625" style="86" bestFit="1" customWidth="1"/>
    <col min="1000" max="1242" width="8.6640625" style="86"/>
    <col min="1243" max="1243" width="12.6640625" style="86" customWidth="1"/>
    <col min="1244" max="1244" width="60.33203125" style="86" customWidth="1"/>
    <col min="1245" max="1246" width="12.6640625" style="86" customWidth="1"/>
    <col min="1247" max="1247" width="12.33203125" style="86" bestFit="1" customWidth="1"/>
    <col min="1248" max="1248" width="15.6640625" style="86" customWidth="1"/>
    <col min="1249" max="1249" width="17.6640625" style="86" bestFit="1" customWidth="1"/>
    <col min="1250" max="1250" width="8.6640625" style="86"/>
    <col min="1251" max="1251" width="18" style="86" bestFit="1" customWidth="1"/>
    <col min="1252" max="1253" width="8.6640625" style="86"/>
    <col min="1254" max="1254" width="21.6640625" style="86" customWidth="1"/>
    <col min="1255" max="1255" width="9.44140625" style="86" bestFit="1" customWidth="1"/>
    <col min="1256" max="1498" width="8.6640625" style="86"/>
    <col min="1499" max="1499" width="12.6640625" style="86" customWidth="1"/>
    <col min="1500" max="1500" width="60.33203125" style="86" customWidth="1"/>
    <col min="1501" max="1502" width="12.6640625" style="86" customWidth="1"/>
    <col min="1503" max="1503" width="12.33203125" style="86" bestFit="1" customWidth="1"/>
    <col min="1504" max="1504" width="15.6640625" style="86" customWidth="1"/>
    <col min="1505" max="1505" width="17.6640625" style="86" bestFit="1" customWidth="1"/>
    <col min="1506" max="1506" width="8.6640625" style="86"/>
    <col min="1507" max="1507" width="18" style="86" bestFit="1" customWidth="1"/>
    <col min="1508" max="1509" width="8.6640625" style="86"/>
    <col min="1510" max="1510" width="21.6640625" style="86" customWidth="1"/>
    <col min="1511" max="1511" width="9.44140625" style="86" bestFit="1" customWidth="1"/>
    <col min="1512" max="1754" width="8.6640625" style="86"/>
    <col min="1755" max="1755" width="12.6640625" style="86" customWidth="1"/>
    <col min="1756" max="1756" width="60.33203125" style="86" customWidth="1"/>
    <col min="1757" max="1758" width="12.6640625" style="86" customWidth="1"/>
    <col min="1759" max="1759" width="12.33203125" style="86" bestFit="1" customWidth="1"/>
    <col min="1760" max="1760" width="15.6640625" style="86" customWidth="1"/>
    <col min="1761" max="1761" width="17.6640625" style="86" bestFit="1" customWidth="1"/>
    <col min="1762" max="1762" width="8.6640625" style="86"/>
    <col min="1763" max="1763" width="18" style="86" bestFit="1" customWidth="1"/>
    <col min="1764" max="1765" width="8.6640625" style="86"/>
    <col min="1766" max="1766" width="21.6640625" style="86" customWidth="1"/>
    <col min="1767" max="1767" width="9.44140625" style="86" bestFit="1" customWidth="1"/>
    <col min="1768" max="2010" width="8.6640625" style="86"/>
    <col min="2011" max="2011" width="12.6640625" style="86" customWidth="1"/>
    <col min="2012" max="2012" width="60.33203125" style="86" customWidth="1"/>
    <col min="2013" max="2014" width="12.6640625" style="86" customWidth="1"/>
    <col min="2015" max="2015" width="12.33203125" style="86" bestFit="1" customWidth="1"/>
    <col min="2016" max="2016" width="15.6640625" style="86" customWidth="1"/>
    <col min="2017" max="2017" width="17.6640625" style="86" bestFit="1" customWidth="1"/>
    <col min="2018" max="2018" width="8.6640625" style="86"/>
    <col min="2019" max="2019" width="18" style="86" bestFit="1" customWidth="1"/>
    <col min="2020" max="2021" width="8.6640625" style="86"/>
    <col min="2022" max="2022" width="21.6640625" style="86" customWidth="1"/>
    <col min="2023" max="2023" width="9.44140625" style="86" bestFit="1" customWidth="1"/>
    <col min="2024" max="2266" width="8.6640625" style="86"/>
    <col min="2267" max="2267" width="12.6640625" style="86" customWidth="1"/>
    <col min="2268" max="2268" width="60.33203125" style="86" customWidth="1"/>
    <col min="2269" max="2270" width="12.6640625" style="86" customWidth="1"/>
    <col min="2271" max="2271" width="12.33203125" style="86" bestFit="1" customWidth="1"/>
    <col min="2272" max="2272" width="15.6640625" style="86" customWidth="1"/>
    <col min="2273" max="2273" width="17.6640625" style="86" bestFit="1" customWidth="1"/>
    <col min="2274" max="2274" width="8.6640625" style="86"/>
    <col min="2275" max="2275" width="18" style="86" bestFit="1" customWidth="1"/>
    <col min="2276" max="2277" width="8.6640625" style="86"/>
    <col min="2278" max="2278" width="21.6640625" style="86" customWidth="1"/>
    <col min="2279" max="2279" width="9.44140625" style="86" bestFit="1" customWidth="1"/>
    <col min="2280" max="2522" width="8.6640625" style="86"/>
    <col min="2523" max="2523" width="12.6640625" style="86" customWidth="1"/>
    <col min="2524" max="2524" width="60.33203125" style="86" customWidth="1"/>
    <col min="2525" max="2526" width="12.6640625" style="86" customWidth="1"/>
    <col min="2527" max="2527" width="12.33203125" style="86" bestFit="1" customWidth="1"/>
    <col min="2528" max="2528" width="15.6640625" style="86" customWidth="1"/>
    <col min="2529" max="2529" width="17.6640625" style="86" bestFit="1" customWidth="1"/>
    <col min="2530" max="2530" width="8.6640625" style="86"/>
    <col min="2531" max="2531" width="18" style="86" bestFit="1" customWidth="1"/>
    <col min="2532" max="2533" width="8.6640625" style="86"/>
    <col min="2534" max="2534" width="21.6640625" style="86" customWidth="1"/>
    <col min="2535" max="2535" width="9.44140625" style="86" bestFit="1" customWidth="1"/>
    <col min="2536" max="2778" width="8.6640625" style="86"/>
    <col min="2779" max="2779" width="12.6640625" style="86" customWidth="1"/>
    <col min="2780" max="2780" width="60.33203125" style="86" customWidth="1"/>
    <col min="2781" max="2782" width="12.6640625" style="86" customWidth="1"/>
    <col min="2783" max="2783" width="12.33203125" style="86" bestFit="1" customWidth="1"/>
    <col min="2784" max="2784" width="15.6640625" style="86" customWidth="1"/>
    <col min="2785" max="2785" width="17.6640625" style="86" bestFit="1" customWidth="1"/>
    <col min="2786" max="2786" width="8.6640625" style="86"/>
    <col min="2787" max="2787" width="18" style="86" bestFit="1" customWidth="1"/>
    <col min="2788" max="2789" width="8.6640625" style="86"/>
    <col min="2790" max="2790" width="21.6640625" style="86" customWidth="1"/>
    <col min="2791" max="2791" width="9.44140625" style="86" bestFit="1" customWidth="1"/>
    <col min="2792" max="3034" width="8.6640625" style="86"/>
    <col min="3035" max="3035" width="12.6640625" style="86" customWidth="1"/>
    <col min="3036" max="3036" width="60.33203125" style="86" customWidth="1"/>
    <col min="3037" max="3038" width="12.6640625" style="86" customWidth="1"/>
    <col min="3039" max="3039" width="12.33203125" style="86" bestFit="1" customWidth="1"/>
    <col min="3040" max="3040" width="15.6640625" style="86" customWidth="1"/>
    <col min="3041" max="3041" width="17.6640625" style="86" bestFit="1" customWidth="1"/>
    <col min="3042" max="3042" width="8.6640625" style="86"/>
    <col min="3043" max="3043" width="18" style="86" bestFit="1" customWidth="1"/>
    <col min="3044" max="3045" width="8.6640625" style="86"/>
    <col min="3046" max="3046" width="21.6640625" style="86" customWidth="1"/>
    <col min="3047" max="3047" width="9.44140625" style="86" bestFit="1" customWidth="1"/>
    <col min="3048" max="3290" width="8.6640625" style="86"/>
    <col min="3291" max="3291" width="12.6640625" style="86" customWidth="1"/>
    <col min="3292" max="3292" width="60.33203125" style="86" customWidth="1"/>
    <col min="3293" max="3294" width="12.6640625" style="86" customWidth="1"/>
    <col min="3295" max="3295" width="12.33203125" style="86" bestFit="1" customWidth="1"/>
    <col min="3296" max="3296" width="15.6640625" style="86" customWidth="1"/>
    <col min="3297" max="3297" width="17.6640625" style="86" bestFit="1" customWidth="1"/>
    <col min="3298" max="3298" width="8.6640625" style="86"/>
    <col min="3299" max="3299" width="18" style="86" bestFit="1" customWidth="1"/>
    <col min="3300" max="3301" width="8.6640625" style="86"/>
    <col min="3302" max="3302" width="21.6640625" style="86" customWidth="1"/>
    <col min="3303" max="3303" width="9.44140625" style="86" bestFit="1" customWidth="1"/>
    <col min="3304" max="3546" width="8.6640625" style="86"/>
    <col min="3547" max="3547" width="12.6640625" style="86" customWidth="1"/>
    <col min="3548" max="3548" width="60.33203125" style="86" customWidth="1"/>
    <col min="3549" max="3550" width="12.6640625" style="86" customWidth="1"/>
    <col min="3551" max="3551" width="12.33203125" style="86" bestFit="1" customWidth="1"/>
    <col min="3552" max="3552" width="15.6640625" style="86" customWidth="1"/>
    <col min="3553" max="3553" width="17.6640625" style="86" bestFit="1" customWidth="1"/>
    <col min="3554" max="3554" width="8.6640625" style="86"/>
    <col min="3555" max="3555" width="18" style="86" bestFit="1" customWidth="1"/>
    <col min="3556" max="3557" width="8.6640625" style="86"/>
    <col min="3558" max="3558" width="21.6640625" style="86" customWidth="1"/>
    <col min="3559" max="3559" width="9.44140625" style="86" bestFit="1" customWidth="1"/>
    <col min="3560" max="3802" width="8.6640625" style="86"/>
    <col min="3803" max="3803" width="12.6640625" style="86" customWidth="1"/>
    <col min="3804" max="3804" width="60.33203125" style="86" customWidth="1"/>
    <col min="3805" max="3806" width="12.6640625" style="86" customWidth="1"/>
    <col min="3807" max="3807" width="12.33203125" style="86" bestFit="1" customWidth="1"/>
    <col min="3808" max="3808" width="15.6640625" style="86" customWidth="1"/>
    <col min="3809" max="3809" width="17.6640625" style="86" bestFit="1" customWidth="1"/>
    <col min="3810" max="3810" width="8.6640625" style="86"/>
    <col min="3811" max="3811" width="18" style="86" bestFit="1" customWidth="1"/>
    <col min="3812" max="3813" width="8.6640625" style="86"/>
    <col min="3814" max="3814" width="21.6640625" style="86" customWidth="1"/>
    <col min="3815" max="3815" width="9.44140625" style="86" bestFit="1" customWidth="1"/>
    <col min="3816" max="4058" width="8.6640625" style="86"/>
    <col min="4059" max="4059" width="12.6640625" style="86" customWidth="1"/>
    <col min="4060" max="4060" width="60.33203125" style="86" customWidth="1"/>
    <col min="4061" max="4062" width="12.6640625" style="86" customWidth="1"/>
    <col min="4063" max="4063" width="12.33203125" style="86" bestFit="1" customWidth="1"/>
    <col min="4064" max="4064" width="15.6640625" style="86" customWidth="1"/>
    <col min="4065" max="4065" width="17.6640625" style="86" bestFit="1" customWidth="1"/>
    <col min="4066" max="4066" width="8.6640625" style="86"/>
    <col min="4067" max="4067" width="18" style="86" bestFit="1" customWidth="1"/>
    <col min="4068" max="4069" width="8.6640625" style="86"/>
    <col min="4070" max="4070" width="21.6640625" style="86" customWidth="1"/>
    <col min="4071" max="4071" width="9.44140625" style="86" bestFit="1" customWidth="1"/>
    <col min="4072" max="4314" width="8.6640625" style="86"/>
    <col min="4315" max="4315" width="12.6640625" style="86" customWidth="1"/>
    <col min="4316" max="4316" width="60.33203125" style="86" customWidth="1"/>
    <col min="4317" max="4318" width="12.6640625" style="86" customWidth="1"/>
    <col min="4319" max="4319" width="12.33203125" style="86" bestFit="1" customWidth="1"/>
    <col min="4320" max="4320" width="15.6640625" style="86" customWidth="1"/>
    <col min="4321" max="4321" width="17.6640625" style="86" bestFit="1" customWidth="1"/>
    <col min="4322" max="4322" width="8.6640625" style="86"/>
    <col min="4323" max="4323" width="18" style="86" bestFit="1" customWidth="1"/>
    <col min="4324" max="4325" width="8.6640625" style="86"/>
    <col min="4326" max="4326" width="21.6640625" style="86" customWidth="1"/>
    <col min="4327" max="4327" width="9.44140625" style="86" bestFit="1" customWidth="1"/>
    <col min="4328" max="4570" width="8.6640625" style="86"/>
    <col min="4571" max="4571" width="12.6640625" style="86" customWidth="1"/>
    <col min="4572" max="4572" width="60.33203125" style="86" customWidth="1"/>
    <col min="4573" max="4574" width="12.6640625" style="86" customWidth="1"/>
    <col min="4575" max="4575" width="12.33203125" style="86" bestFit="1" customWidth="1"/>
    <col min="4576" max="4576" width="15.6640625" style="86" customWidth="1"/>
    <col min="4577" max="4577" width="17.6640625" style="86" bestFit="1" customWidth="1"/>
    <col min="4578" max="4578" width="8.6640625" style="86"/>
    <col min="4579" max="4579" width="18" style="86" bestFit="1" customWidth="1"/>
    <col min="4580" max="4581" width="8.6640625" style="86"/>
    <col min="4582" max="4582" width="21.6640625" style="86" customWidth="1"/>
    <col min="4583" max="4583" width="9.44140625" style="86" bestFit="1" customWidth="1"/>
    <col min="4584" max="4826" width="8.6640625" style="86"/>
    <col min="4827" max="4827" width="12.6640625" style="86" customWidth="1"/>
    <col min="4828" max="4828" width="60.33203125" style="86" customWidth="1"/>
    <col min="4829" max="4830" width="12.6640625" style="86" customWidth="1"/>
    <col min="4831" max="4831" width="12.33203125" style="86" bestFit="1" customWidth="1"/>
    <col min="4832" max="4832" width="15.6640625" style="86" customWidth="1"/>
    <col min="4833" max="4833" width="17.6640625" style="86" bestFit="1" customWidth="1"/>
    <col min="4834" max="4834" width="8.6640625" style="86"/>
    <col min="4835" max="4835" width="18" style="86" bestFit="1" customWidth="1"/>
    <col min="4836" max="4837" width="8.6640625" style="86"/>
    <col min="4838" max="4838" width="21.6640625" style="86" customWidth="1"/>
    <col min="4839" max="4839" width="9.44140625" style="86" bestFit="1" customWidth="1"/>
    <col min="4840" max="5082" width="8.6640625" style="86"/>
    <col min="5083" max="5083" width="12.6640625" style="86" customWidth="1"/>
    <col min="5084" max="5084" width="60.33203125" style="86" customWidth="1"/>
    <col min="5085" max="5086" width="12.6640625" style="86" customWidth="1"/>
    <col min="5087" max="5087" width="12.33203125" style="86" bestFit="1" customWidth="1"/>
    <col min="5088" max="5088" width="15.6640625" style="86" customWidth="1"/>
    <col min="5089" max="5089" width="17.6640625" style="86" bestFit="1" customWidth="1"/>
    <col min="5090" max="5090" width="8.6640625" style="86"/>
    <col min="5091" max="5091" width="18" style="86" bestFit="1" customWidth="1"/>
    <col min="5092" max="5093" width="8.6640625" style="86"/>
    <col min="5094" max="5094" width="21.6640625" style="86" customWidth="1"/>
    <col min="5095" max="5095" width="9.44140625" style="86" bestFit="1" customWidth="1"/>
    <col min="5096" max="5338" width="8.6640625" style="86"/>
    <col min="5339" max="5339" width="12.6640625" style="86" customWidth="1"/>
    <col min="5340" max="5340" width="60.33203125" style="86" customWidth="1"/>
    <col min="5341" max="5342" width="12.6640625" style="86" customWidth="1"/>
    <col min="5343" max="5343" width="12.33203125" style="86" bestFit="1" customWidth="1"/>
    <col min="5344" max="5344" width="15.6640625" style="86" customWidth="1"/>
    <col min="5345" max="5345" width="17.6640625" style="86" bestFit="1" customWidth="1"/>
    <col min="5346" max="5346" width="8.6640625" style="86"/>
    <col min="5347" max="5347" width="18" style="86" bestFit="1" customWidth="1"/>
    <col min="5348" max="5349" width="8.6640625" style="86"/>
    <col min="5350" max="5350" width="21.6640625" style="86" customWidth="1"/>
    <col min="5351" max="5351" width="9.44140625" style="86" bestFit="1" customWidth="1"/>
    <col min="5352" max="5594" width="8.6640625" style="86"/>
    <col min="5595" max="5595" width="12.6640625" style="86" customWidth="1"/>
    <col min="5596" max="5596" width="60.33203125" style="86" customWidth="1"/>
    <col min="5597" max="5598" width="12.6640625" style="86" customWidth="1"/>
    <col min="5599" max="5599" width="12.33203125" style="86" bestFit="1" customWidth="1"/>
    <col min="5600" max="5600" width="15.6640625" style="86" customWidth="1"/>
    <col min="5601" max="5601" width="17.6640625" style="86" bestFit="1" customWidth="1"/>
    <col min="5602" max="5602" width="8.6640625" style="86"/>
    <col min="5603" max="5603" width="18" style="86" bestFit="1" customWidth="1"/>
    <col min="5604" max="5605" width="8.6640625" style="86"/>
    <col min="5606" max="5606" width="21.6640625" style="86" customWidth="1"/>
    <col min="5607" max="5607" width="9.44140625" style="86" bestFit="1" customWidth="1"/>
    <col min="5608" max="5850" width="8.6640625" style="86"/>
    <col min="5851" max="5851" width="12.6640625" style="86" customWidth="1"/>
    <col min="5852" max="5852" width="60.33203125" style="86" customWidth="1"/>
    <col min="5853" max="5854" width="12.6640625" style="86" customWidth="1"/>
    <col min="5855" max="5855" width="12.33203125" style="86" bestFit="1" customWidth="1"/>
    <col min="5856" max="5856" width="15.6640625" style="86" customWidth="1"/>
    <col min="5857" max="5857" width="17.6640625" style="86" bestFit="1" customWidth="1"/>
    <col min="5858" max="5858" width="8.6640625" style="86"/>
    <col min="5859" max="5859" width="18" style="86" bestFit="1" customWidth="1"/>
    <col min="5860" max="5861" width="8.6640625" style="86"/>
    <col min="5862" max="5862" width="21.6640625" style="86" customWidth="1"/>
    <col min="5863" max="5863" width="9.44140625" style="86" bestFit="1" customWidth="1"/>
    <col min="5864" max="6106" width="8.6640625" style="86"/>
    <col min="6107" max="6107" width="12.6640625" style="86" customWidth="1"/>
    <col min="6108" max="6108" width="60.33203125" style="86" customWidth="1"/>
    <col min="6109" max="6110" width="12.6640625" style="86" customWidth="1"/>
    <col min="6111" max="6111" width="12.33203125" style="86" bestFit="1" customWidth="1"/>
    <col min="6112" max="6112" width="15.6640625" style="86" customWidth="1"/>
    <col min="6113" max="6113" width="17.6640625" style="86" bestFit="1" customWidth="1"/>
    <col min="6114" max="6114" width="8.6640625" style="86"/>
    <col min="6115" max="6115" width="18" style="86" bestFit="1" customWidth="1"/>
    <col min="6116" max="6117" width="8.6640625" style="86"/>
    <col min="6118" max="6118" width="21.6640625" style="86" customWidth="1"/>
    <col min="6119" max="6119" width="9.44140625" style="86" bestFit="1" customWidth="1"/>
    <col min="6120" max="6362" width="8.6640625" style="86"/>
    <col min="6363" max="6363" width="12.6640625" style="86" customWidth="1"/>
    <col min="6364" max="6364" width="60.33203125" style="86" customWidth="1"/>
    <col min="6365" max="6366" width="12.6640625" style="86" customWidth="1"/>
    <col min="6367" max="6367" width="12.33203125" style="86" bestFit="1" customWidth="1"/>
    <col min="6368" max="6368" width="15.6640625" style="86" customWidth="1"/>
    <col min="6369" max="6369" width="17.6640625" style="86" bestFit="1" customWidth="1"/>
    <col min="6370" max="6370" width="8.6640625" style="86"/>
    <col min="6371" max="6371" width="18" style="86" bestFit="1" customWidth="1"/>
    <col min="6372" max="6373" width="8.6640625" style="86"/>
    <col min="6374" max="6374" width="21.6640625" style="86" customWidth="1"/>
    <col min="6375" max="6375" width="9.44140625" style="86" bestFit="1" customWidth="1"/>
    <col min="6376" max="6618" width="8.6640625" style="86"/>
    <col min="6619" max="6619" width="12.6640625" style="86" customWidth="1"/>
    <col min="6620" max="6620" width="60.33203125" style="86" customWidth="1"/>
    <col min="6621" max="6622" width="12.6640625" style="86" customWidth="1"/>
    <col min="6623" max="6623" width="12.33203125" style="86" bestFit="1" customWidth="1"/>
    <col min="6624" max="6624" width="15.6640625" style="86" customWidth="1"/>
    <col min="6625" max="6625" width="17.6640625" style="86" bestFit="1" customWidth="1"/>
    <col min="6626" max="6626" width="8.6640625" style="86"/>
    <col min="6627" max="6627" width="18" style="86" bestFit="1" customWidth="1"/>
    <col min="6628" max="6629" width="8.6640625" style="86"/>
    <col min="6630" max="6630" width="21.6640625" style="86" customWidth="1"/>
    <col min="6631" max="6631" width="9.44140625" style="86" bestFit="1" customWidth="1"/>
    <col min="6632" max="6874" width="8.6640625" style="86"/>
    <col min="6875" max="6875" width="12.6640625" style="86" customWidth="1"/>
    <col min="6876" max="6876" width="60.33203125" style="86" customWidth="1"/>
    <col min="6877" max="6878" width="12.6640625" style="86" customWidth="1"/>
    <col min="6879" max="6879" width="12.33203125" style="86" bestFit="1" customWidth="1"/>
    <col min="6880" max="6880" width="15.6640625" style="86" customWidth="1"/>
    <col min="6881" max="6881" width="17.6640625" style="86" bestFit="1" customWidth="1"/>
    <col min="6882" max="6882" width="8.6640625" style="86"/>
    <col min="6883" max="6883" width="18" style="86" bestFit="1" customWidth="1"/>
    <col min="6884" max="6885" width="8.6640625" style="86"/>
    <col min="6886" max="6886" width="21.6640625" style="86" customWidth="1"/>
    <col min="6887" max="6887" width="9.44140625" style="86" bestFit="1" customWidth="1"/>
    <col min="6888" max="7130" width="8.6640625" style="86"/>
    <col min="7131" max="7131" width="12.6640625" style="86" customWidth="1"/>
    <col min="7132" max="7132" width="60.33203125" style="86" customWidth="1"/>
    <col min="7133" max="7134" width="12.6640625" style="86" customWidth="1"/>
    <col min="7135" max="7135" width="12.33203125" style="86" bestFit="1" customWidth="1"/>
    <col min="7136" max="7136" width="15.6640625" style="86" customWidth="1"/>
    <col min="7137" max="7137" width="17.6640625" style="86" bestFit="1" customWidth="1"/>
    <col min="7138" max="7138" width="8.6640625" style="86"/>
    <col min="7139" max="7139" width="18" style="86" bestFit="1" customWidth="1"/>
    <col min="7140" max="7141" width="8.6640625" style="86"/>
    <col min="7142" max="7142" width="21.6640625" style="86" customWidth="1"/>
    <col min="7143" max="7143" width="9.44140625" style="86" bestFit="1" customWidth="1"/>
    <col min="7144" max="7386" width="8.6640625" style="86"/>
    <col min="7387" max="7387" width="12.6640625" style="86" customWidth="1"/>
    <col min="7388" max="7388" width="60.33203125" style="86" customWidth="1"/>
    <col min="7389" max="7390" width="12.6640625" style="86" customWidth="1"/>
    <col min="7391" max="7391" width="12.33203125" style="86" bestFit="1" customWidth="1"/>
    <col min="7392" max="7392" width="15.6640625" style="86" customWidth="1"/>
    <col min="7393" max="7393" width="17.6640625" style="86" bestFit="1" customWidth="1"/>
    <col min="7394" max="7394" width="8.6640625" style="86"/>
    <col min="7395" max="7395" width="18" style="86" bestFit="1" customWidth="1"/>
    <col min="7396" max="7397" width="8.6640625" style="86"/>
    <col min="7398" max="7398" width="21.6640625" style="86" customWidth="1"/>
    <col min="7399" max="7399" width="9.44140625" style="86" bestFit="1" customWidth="1"/>
    <col min="7400" max="7642" width="8.6640625" style="86"/>
    <col min="7643" max="7643" width="12.6640625" style="86" customWidth="1"/>
    <col min="7644" max="7644" width="60.33203125" style="86" customWidth="1"/>
    <col min="7645" max="7646" width="12.6640625" style="86" customWidth="1"/>
    <col min="7647" max="7647" width="12.33203125" style="86" bestFit="1" customWidth="1"/>
    <col min="7648" max="7648" width="15.6640625" style="86" customWidth="1"/>
    <col min="7649" max="7649" width="17.6640625" style="86" bestFit="1" customWidth="1"/>
    <col min="7650" max="7650" width="8.6640625" style="86"/>
    <col min="7651" max="7651" width="18" style="86" bestFit="1" customWidth="1"/>
    <col min="7652" max="7653" width="8.6640625" style="86"/>
    <col min="7654" max="7654" width="21.6640625" style="86" customWidth="1"/>
    <col min="7655" max="7655" width="9.44140625" style="86" bestFit="1" customWidth="1"/>
    <col min="7656" max="7898" width="8.6640625" style="86"/>
    <col min="7899" max="7899" width="12.6640625" style="86" customWidth="1"/>
    <col min="7900" max="7900" width="60.33203125" style="86" customWidth="1"/>
    <col min="7901" max="7902" width="12.6640625" style="86" customWidth="1"/>
    <col min="7903" max="7903" width="12.33203125" style="86" bestFit="1" customWidth="1"/>
    <col min="7904" max="7904" width="15.6640625" style="86" customWidth="1"/>
    <col min="7905" max="7905" width="17.6640625" style="86" bestFit="1" customWidth="1"/>
    <col min="7906" max="7906" width="8.6640625" style="86"/>
    <col min="7907" max="7907" width="18" style="86" bestFit="1" customWidth="1"/>
    <col min="7908" max="7909" width="8.6640625" style="86"/>
    <col min="7910" max="7910" width="21.6640625" style="86" customWidth="1"/>
    <col min="7911" max="7911" width="9.44140625" style="86" bestFit="1" customWidth="1"/>
    <col min="7912" max="8154" width="8.6640625" style="86"/>
    <col min="8155" max="8155" width="12.6640625" style="86" customWidth="1"/>
    <col min="8156" max="8156" width="60.33203125" style="86" customWidth="1"/>
    <col min="8157" max="8158" width="12.6640625" style="86" customWidth="1"/>
    <col min="8159" max="8159" width="12.33203125" style="86" bestFit="1" customWidth="1"/>
    <col min="8160" max="8160" width="15.6640625" style="86" customWidth="1"/>
    <col min="8161" max="8161" width="17.6640625" style="86" bestFit="1" customWidth="1"/>
    <col min="8162" max="8162" width="8.6640625" style="86"/>
    <col min="8163" max="8163" width="18" style="86" bestFit="1" customWidth="1"/>
    <col min="8164" max="8165" width="8.6640625" style="86"/>
    <col min="8166" max="8166" width="21.6640625" style="86" customWidth="1"/>
    <col min="8167" max="8167" width="9.44140625" style="86" bestFit="1" customWidth="1"/>
    <col min="8168" max="8410" width="8.6640625" style="86"/>
    <col min="8411" max="8411" width="12.6640625" style="86" customWidth="1"/>
    <col min="8412" max="8412" width="60.33203125" style="86" customWidth="1"/>
    <col min="8413" max="8414" width="12.6640625" style="86" customWidth="1"/>
    <col min="8415" max="8415" width="12.33203125" style="86" bestFit="1" customWidth="1"/>
    <col min="8416" max="8416" width="15.6640625" style="86" customWidth="1"/>
    <col min="8417" max="8417" width="17.6640625" style="86" bestFit="1" customWidth="1"/>
    <col min="8418" max="8418" width="8.6640625" style="86"/>
    <col min="8419" max="8419" width="18" style="86" bestFit="1" customWidth="1"/>
    <col min="8420" max="8421" width="8.6640625" style="86"/>
    <col min="8422" max="8422" width="21.6640625" style="86" customWidth="1"/>
    <col min="8423" max="8423" width="9.44140625" style="86" bestFit="1" customWidth="1"/>
    <col min="8424" max="8666" width="8.6640625" style="86"/>
    <col min="8667" max="8667" width="12.6640625" style="86" customWidth="1"/>
    <col min="8668" max="8668" width="60.33203125" style="86" customWidth="1"/>
    <col min="8669" max="8670" width="12.6640625" style="86" customWidth="1"/>
    <col min="8671" max="8671" width="12.33203125" style="86" bestFit="1" customWidth="1"/>
    <col min="8672" max="8672" width="15.6640625" style="86" customWidth="1"/>
    <col min="8673" max="8673" width="17.6640625" style="86" bestFit="1" customWidth="1"/>
    <col min="8674" max="8674" width="8.6640625" style="86"/>
    <col min="8675" max="8675" width="18" style="86" bestFit="1" customWidth="1"/>
    <col min="8676" max="8677" width="8.6640625" style="86"/>
    <col min="8678" max="8678" width="21.6640625" style="86" customWidth="1"/>
    <col min="8679" max="8679" width="9.44140625" style="86" bestFit="1" customWidth="1"/>
    <col min="8680" max="8922" width="8.6640625" style="86"/>
    <col min="8923" max="8923" width="12.6640625" style="86" customWidth="1"/>
    <col min="8924" max="8924" width="60.33203125" style="86" customWidth="1"/>
    <col min="8925" max="8926" width="12.6640625" style="86" customWidth="1"/>
    <col min="8927" max="8927" width="12.33203125" style="86" bestFit="1" customWidth="1"/>
    <col min="8928" max="8928" width="15.6640625" style="86" customWidth="1"/>
    <col min="8929" max="8929" width="17.6640625" style="86" bestFit="1" customWidth="1"/>
    <col min="8930" max="8930" width="8.6640625" style="86"/>
    <col min="8931" max="8931" width="18" style="86" bestFit="1" customWidth="1"/>
    <col min="8932" max="8933" width="8.6640625" style="86"/>
    <col min="8934" max="8934" width="21.6640625" style="86" customWidth="1"/>
    <col min="8935" max="8935" width="9.44140625" style="86" bestFit="1" customWidth="1"/>
    <col min="8936" max="9178" width="8.6640625" style="86"/>
    <col min="9179" max="9179" width="12.6640625" style="86" customWidth="1"/>
    <col min="9180" max="9180" width="60.33203125" style="86" customWidth="1"/>
    <col min="9181" max="9182" width="12.6640625" style="86" customWidth="1"/>
    <col min="9183" max="9183" width="12.33203125" style="86" bestFit="1" customWidth="1"/>
    <col min="9184" max="9184" width="15.6640625" style="86" customWidth="1"/>
    <col min="9185" max="9185" width="17.6640625" style="86" bestFit="1" customWidth="1"/>
    <col min="9186" max="9186" width="8.6640625" style="86"/>
    <col min="9187" max="9187" width="18" style="86" bestFit="1" customWidth="1"/>
    <col min="9188" max="9189" width="8.6640625" style="86"/>
    <col min="9190" max="9190" width="21.6640625" style="86" customWidth="1"/>
    <col min="9191" max="9191" width="9.44140625" style="86" bestFit="1" customWidth="1"/>
    <col min="9192" max="9434" width="8.6640625" style="86"/>
    <col min="9435" max="9435" width="12.6640625" style="86" customWidth="1"/>
    <col min="9436" max="9436" width="60.33203125" style="86" customWidth="1"/>
    <col min="9437" max="9438" width="12.6640625" style="86" customWidth="1"/>
    <col min="9439" max="9439" width="12.33203125" style="86" bestFit="1" customWidth="1"/>
    <col min="9440" max="9440" width="15.6640625" style="86" customWidth="1"/>
    <col min="9441" max="9441" width="17.6640625" style="86" bestFit="1" customWidth="1"/>
    <col min="9442" max="9442" width="8.6640625" style="86"/>
    <col min="9443" max="9443" width="18" style="86" bestFit="1" customWidth="1"/>
    <col min="9444" max="9445" width="8.6640625" style="86"/>
    <col min="9446" max="9446" width="21.6640625" style="86" customWidth="1"/>
    <col min="9447" max="9447" width="9.44140625" style="86" bestFit="1" customWidth="1"/>
    <col min="9448" max="9690" width="8.6640625" style="86"/>
    <col min="9691" max="9691" width="12.6640625" style="86" customWidth="1"/>
    <col min="9692" max="9692" width="60.33203125" style="86" customWidth="1"/>
    <col min="9693" max="9694" width="12.6640625" style="86" customWidth="1"/>
    <col min="9695" max="9695" width="12.33203125" style="86" bestFit="1" customWidth="1"/>
    <col min="9696" max="9696" width="15.6640625" style="86" customWidth="1"/>
    <col min="9697" max="9697" width="17.6640625" style="86" bestFit="1" customWidth="1"/>
    <col min="9698" max="9698" width="8.6640625" style="86"/>
    <col min="9699" max="9699" width="18" style="86" bestFit="1" customWidth="1"/>
    <col min="9700" max="9701" width="8.6640625" style="86"/>
    <col min="9702" max="9702" width="21.6640625" style="86" customWidth="1"/>
    <col min="9703" max="9703" width="9.44140625" style="86" bestFit="1" customWidth="1"/>
    <col min="9704" max="9946" width="8.6640625" style="86"/>
    <col min="9947" max="9947" width="12.6640625" style="86" customWidth="1"/>
    <col min="9948" max="9948" width="60.33203125" style="86" customWidth="1"/>
    <col min="9949" max="9950" width="12.6640625" style="86" customWidth="1"/>
    <col min="9951" max="9951" width="12.33203125" style="86" bestFit="1" customWidth="1"/>
    <col min="9952" max="9952" width="15.6640625" style="86" customWidth="1"/>
    <col min="9953" max="9953" width="17.6640625" style="86" bestFit="1" customWidth="1"/>
    <col min="9954" max="9954" width="8.6640625" style="86"/>
    <col min="9955" max="9955" width="18" style="86" bestFit="1" customWidth="1"/>
    <col min="9956" max="9957" width="8.6640625" style="86"/>
    <col min="9958" max="9958" width="21.6640625" style="86" customWidth="1"/>
    <col min="9959" max="9959" width="9.44140625" style="86" bestFit="1" customWidth="1"/>
    <col min="9960" max="10202" width="8.6640625" style="86"/>
    <col min="10203" max="10203" width="12.6640625" style="86" customWidth="1"/>
    <col min="10204" max="10204" width="60.33203125" style="86" customWidth="1"/>
    <col min="10205" max="10206" width="12.6640625" style="86" customWidth="1"/>
    <col min="10207" max="10207" width="12.33203125" style="86" bestFit="1" customWidth="1"/>
    <col min="10208" max="10208" width="15.6640625" style="86" customWidth="1"/>
    <col min="10209" max="10209" width="17.6640625" style="86" bestFit="1" customWidth="1"/>
    <col min="10210" max="10210" width="8.6640625" style="86"/>
    <col min="10211" max="10211" width="18" style="86" bestFit="1" customWidth="1"/>
    <col min="10212" max="10213" width="8.6640625" style="86"/>
    <col min="10214" max="10214" width="21.6640625" style="86" customWidth="1"/>
    <col min="10215" max="10215" width="9.44140625" style="86" bestFit="1" customWidth="1"/>
    <col min="10216" max="10458" width="8.6640625" style="86"/>
    <col min="10459" max="10459" width="12.6640625" style="86" customWidth="1"/>
    <col min="10460" max="10460" width="60.33203125" style="86" customWidth="1"/>
    <col min="10461" max="10462" width="12.6640625" style="86" customWidth="1"/>
    <col min="10463" max="10463" width="12.33203125" style="86" bestFit="1" customWidth="1"/>
    <col min="10464" max="10464" width="15.6640625" style="86" customWidth="1"/>
    <col min="10465" max="10465" width="17.6640625" style="86" bestFit="1" customWidth="1"/>
    <col min="10466" max="10466" width="8.6640625" style="86"/>
    <col min="10467" max="10467" width="18" style="86" bestFit="1" customWidth="1"/>
    <col min="10468" max="10469" width="8.6640625" style="86"/>
    <col min="10470" max="10470" width="21.6640625" style="86" customWidth="1"/>
    <col min="10471" max="10471" width="9.44140625" style="86" bestFit="1" customWidth="1"/>
    <col min="10472" max="10714" width="8.6640625" style="86"/>
    <col min="10715" max="10715" width="12.6640625" style="86" customWidth="1"/>
    <col min="10716" max="10716" width="60.33203125" style="86" customWidth="1"/>
    <col min="10717" max="10718" width="12.6640625" style="86" customWidth="1"/>
    <col min="10719" max="10719" width="12.33203125" style="86" bestFit="1" customWidth="1"/>
    <col min="10720" max="10720" width="15.6640625" style="86" customWidth="1"/>
    <col min="10721" max="10721" width="17.6640625" style="86" bestFit="1" customWidth="1"/>
    <col min="10722" max="10722" width="8.6640625" style="86"/>
    <col min="10723" max="10723" width="18" style="86" bestFit="1" customWidth="1"/>
    <col min="10724" max="10725" width="8.6640625" style="86"/>
    <col min="10726" max="10726" width="21.6640625" style="86" customWidth="1"/>
    <col min="10727" max="10727" width="9.44140625" style="86" bestFit="1" customWidth="1"/>
    <col min="10728" max="10970" width="8.6640625" style="86"/>
    <col min="10971" max="10971" width="12.6640625" style="86" customWidth="1"/>
    <col min="10972" max="10972" width="60.33203125" style="86" customWidth="1"/>
    <col min="10973" max="10974" width="12.6640625" style="86" customWidth="1"/>
    <col min="10975" max="10975" width="12.33203125" style="86" bestFit="1" customWidth="1"/>
    <col min="10976" max="10976" width="15.6640625" style="86" customWidth="1"/>
    <col min="10977" max="10977" width="17.6640625" style="86" bestFit="1" customWidth="1"/>
    <col min="10978" max="10978" width="8.6640625" style="86"/>
    <col min="10979" max="10979" width="18" style="86" bestFit="1" customWidth="1"/>
    <col min="10980" max="10981" width="8.6640625" style="86"/>
    <col min="10982" max="10982" width="21.6640625" style="86" customWidth="1"/>
    <col min="10983" max="10983" width="9.44140625" style="86" bestFit="1" customWidth="1"/>
    <col min="10984" max="11226" width="8.6640625" style="86"/>
    <col min="11227" max="11227" width="12.6640625" style="86" customWidth="1"/>
    <col min="11228" max="11228" width="60.33203125" style="86" customWidth="1"/>
    <col min="11229" max="11230" width="12.6640625" style="86" customWidth="1"/>
    <col min="11231" max="11231" width="12.33203125" style="86" bestFit="1" customWidth="1"/>
    <col min="11232" max="11232" width="15.6640625" style="86" customWidth="1"/>
    <col min="11233" max="11233" width="17.6640625" style="86" bestFit="1" customWidth="1"/>
    <col min="11234" max="11234" width="8.6640625" style="86"/>
    <col min="11235" max="11235" width="18" style="86" bestFit="1" customWidth="1"/>
    <col min="11236" max="11237" width="8.6640625" style="86"/>
    <col min="11238" max="11238" width="21.6640625" style="86" customWidth="1"/>
    <col min="11239" max="11239" width="9.44140625" style="86" bestFit="1" customWidth="1"/>
    <col min="11240" max="11482" width="8.6640625" style="86"/>
    <col min="11483" max="11483" width="12.6640625" style="86" customWidth="1"/>
    <col min="11484" max="11484" width="60.33203125" style="86" customWidth="1"/>
    <col min="11485" max="11486" width="12.6640625" style="86" customWidth="1"/>
    <col min="11487" max="11487" width="12.33203125" style="86" bestFit="1" customWidth="1"/>
    <col min="11488" max="11488" width="15.6640625" style="86" customWidth="1"/>
    <col min="11489" max="11489" width="17.6640625" style="86" bestFit="1" customWidth="1"/>
    <col min="11490" max="11490" width="8.6640625" style="86"/>
    <col min="11491" max="11491" width="18" style="86" bestFit="1" customWidth="1"/>
    <col min="11492" max="11493" width="8.6640625" style="86"/>
    <col min="11494" max="11494" width="21.6640625" style="86" customWidth="1"/>
    <col min="11495" max="11495" width="9.44140625" style="86" bestFit="1" customWidth="1"/>
    <col min="11496" max="11738" width="8.6640625" style="86"/>
    <col min="11739" max="11739" width="12.6640625" style="86" customWidth="1"/>
    <col min="11740" max="11740" width="60.33203125" style="86" customWidth="1"/>
    <col min="11741" max="11742" width="12.6640625" style="86" customWidth="1"/>
    <col min="11743" max="11743" width="12.33203125" style="86" bestFit="1" customWidth="1"/>
    <col min="11744" max="11744" width="15.6640625" style="86" customWidth="1"/>
    <col min="11745" max="11745" width="17.6640625" style="86" bestFit="1" customWidth="1"/>
    <col min="11746" max="11746" width="8.6640625" style="86"/>
    <col min="11747" max="11747" width="18" style="86" bestFit="1" customWidth="1"/>
    <col min="11748" max="11749" width="8.6640625" style="86"/>
    <col min="11750" max="11750" width="21.6640625" style="86" customWidth="1"/>
    <col min="11751" max="11751" width="9.44140625" style="86" bestFit="1" customWidth="1"/>
    <col min="11752" max="11994" width="8.6640625" style="86"/>
    <col min="11995" max="11995" width="12.6640625" style="86" customWidth="1"/>
    <col min="11996" max="11996" width="60.33203125" style="86" customWidth="1"/>
    <col min="11997" max="11998" width="12.6640625" style="86" customWidth="1"/>
    <col min="11999" max="11999" width="12.33203125" style="86" bestFit="1" customWidth="1"/>
    <col min="12000" max="12000" width="15.6640625" style="86" customWidth="1"/>
    <col min="12001" max="12001" width="17.6640625" style="86" bestFit="1" customWidth="1"/>
    <col min="12002" max="12002" width="8.6640625" style="86"/>
    <col min="12003" max="12003" width="18" style="86" bestFit="1" customWidth="1"/>
    <col min="12004" max="12005" width="8.6640625" style="86"/>
    <col min="12006" max="12006" width="21.6640625" style="86" customWidth="1"/>
    <col min="12007" max="12007" width="9.44140625" style="86" bestFit="1" customWidth="1"/>
    <col min="12008" max="12250" width="8.6640625" style="86"/>
    <col min="12251" max="12251" width="12.6640625" style="86" customWidth="1"/>
    <col min="12252" max="12252" width="60.33203125" style="86" customWidth="1"/>
    <col min="12253" max="12254" width="12.6640625" style="86" customWidth="1"/>
    <col min="12255" max="12255" width="12.33203125" style="86" bestFit="1" customWidth="1"/>
    <col min="12256" max="12256" width="15.6640625" style="86" customWidth="1"/>
    <col min="12257" max="12257" width="17.6640625" style="86" bestFit="1" customWidth="1"/>
    <col min="12258" max="12258" width="8.6640625" style="86"/>
    <col min="12259" max="12259" width="18" style="86" bestFit="1" customWidth="1"/>
    <col min="12260" max="12261" width="8.6640625" style="86"/>
    <col min="12262" max="12262" width="21.6640625" style="86" customWidth="1"/>
    <col min="12263" max="12263" width="9.44140625" style="86" bestFit="1" customWidth="1"/>
    <col min="12264" max="12506" width="8.6640625" style="86"/>
    <col min="12507" max="12507" width="12.6640625" style="86" customWidth="1"/>
    <col min="12508" max="12508" width="60.33203125" style="86" customWidth="1"/>
    <col min="12509" max="12510" width="12.6640625" style="86" customWidth="1"/>
    <col min="12511" max="12511" width="12.33203125" style="86" bestFit="1" customWidth="1"/>
    <col min="12512" max="12512" width="15.6640625" style="86" customWidth="1"/>
    <col min="12513" max="12513" width="17.6640625" style="86" bestFit="1" customWidth="1"/>
    <col min="12514" max="12514" width="8.6640625" style="86"/>
    <col min="12515" max="12515" width="18" style="86" bestFit="1" customWidth="1"/>
    <col min="12516" max="12517" width="8.6640625" style="86"/>
    <col min="12518" max="12518" width="21.6640625" style="86" customWidth="1"/>
    <col min="12519" max="12519" width="9.44140625" style="86" bestFit="1" customWidth="1"/>
    <col min="12520" max="12762" width="8.6640625" style="86"/>
    <col min="12763" max="12763" width="12.6640625" style="86" customWidth="1"/>
    <col min="12764" max="12764" width="60.33203125" style="86" customWidth="1"/>
    <col min="12765" max="12766" width="12.6640625" style="86" customWidth="1"/>
    <col min="12767" max="12767" width="12.33203125" style="86" bestFit="1" customWidth="1"/>
    <col min="12768" max="12768" width="15.6640625" style="86" customWidth="1"/>
    <col min="12769" max="12769" width="17.6640625" style="86" bestFit="1" customWidth="1"/>
    <col min="12770" max="12770" width="8.6640625" style="86"/>
    <col min="12771" max="12771" width="18" style="86" bestFit="1" customWidth="1"/>
    <col min="12772" max="12773" width="8.6640625" style="86"/>
    <col min="12774" max="12774" width="21.6640625" style="86" customWidth="1"/>
    <col min="12775" max="12775" width="9.44140625" style="86" bestFit="1" customWidth="1"/>
    <col min="12776" max="13018" width="8.6640625" style="86"/>
    <col min="13019" max="13019" width="12.6640625" style="86" customWidth="1"/>
    <col min="13020" max="13020" width="60.33203125" style="86" customWidth="1"/>
    <col min="13021" max="13022" width="12.6640625" style="86" customWidth="1"/>
    <col min="13023" max="13023" width="12.33203125" style="86" bestFit="1" customWidth="1"/>
    <col min="13024" max="13024" width="15.6640625" style="86" customWidth="1"/>
    <col min="13025" max="13025" width="17.6640625" style="86" bestFit="1" customWidth="1"/>
    <col min="13026" max="13026" width="8.6640625" style="86"/>
    <col min="13027" max="13027" width="18" style="86" bestFit="1" customWidth="1"/>
    <col min="13028" max="13029" width="8.6640625" style="86"/>
    <col min="13030" max="13030" width="21.6640625" style="86" customWidth="1"/>
    <col min="13031" max="13031" width="9.44140625" style="86" bestFit="1" customWidth="1"/>
    <col min="13032" max="13274" width="8.6640625" style="86"/>
    <col min="13275" max="13275" width="12.6640625" style="86" customWidth="1"/>
    <col min="13276" max="13276" width="60.33203125" style="86" customWidth="1"/>
    <col min="13277" max="13278" width="12.6640625" style="86" customWidth="1"/>
    <col min="13279" max="13279" width="12.33203125" style="86" bestFit="1" customWidth="1"/>
    <col min="13280" max="13280" width="15.6640625" style="86" customWidth="1"/>
    <col min="13281" max="13281" width="17.6640625" style="86" bestFit="1" customWidth="1"/>
    <col min="13282" max="13282" width="8.6640625" style="86"/>
    <col min="13283" max="13283" width="18" style="86" bestFit="1" customWidth="1"/>
    <col min="13284" max="13285" width="8.6640625" style="86"/>
    <col min="13286" max="13286" width="21.6640625" style="86" customWidth="1"/>
    <col min="13287" max="13287" width="9.44140625" style="86" bestFit="1" customWidth="1"/>
    <col min="13288" max="13530" width="8.6640625" style="86"/>
    <col min="13531" max="13531" width="12.6640625" style="86" customWidth="1"/>
    <col min="13532" max="13532" width="60.33203125" style="86" customWidth="1"/>
    <col min="13533" max="13534" width="12.6640625" style="86" customWidth="1"/>
    <col min="13535" max="13535" width="12.33203125" style="86" bestFit="1" customWidth="1"/>
    <col min="13536" max="13536" width="15.6640625" style="86" customWidth="1"/>
    <col min="13537" max="13537" width="17.6640625" style="86" bestFit="1" customWidth="1"/>
    <col min="13538" max="13538" width="8.6640625" style="86"/>
    <col min="13539" max="13539" width="18" style="86" bestFit="1" customWidth="1"/>
    <col min="13540" max="13541" width="8.6640625" style="86"/>
    <col min="13542" max="13542" width="21.6640625" style="86" customWidth="1"/>
    <col min="13543" max="13543" width="9.44140625" style="86" bestFit="1" customWidth="1"/>
    <col min="13544" max="13786" width="8.6640625" style="86"/>
    <col min="13787" max="13787" width="12.6640625" style="86" customWidth="1"/>
    <col min="13788" max="13788" width="60.33203125" style="86" customWidth="1"/>
    <col min="13789" max="13790" width="12.6640625" style="86" customWidth="1"/>
    <col min="13791" max="13791" width="12.33203125" style="86" bestFit="1" customWidth="1"/>
    <col min="13792" max="13792" width="15.6640625" style="86" customWidth="1"/>
    <col min="13793" max="13793" width="17.6640625" style="86" bestFit="1" customWidth="1"/>
    <col min="13794" max="13794" width="8.6640625" style="86"/>
    <col min="13795" max="13795" width="18" style="86" bestFit="1" customWidth="1"/>
    <col min="13796" max="13797" width="8.6640625" style="86"/>
    <col min="13798" max="13798" width="21.6640625" style="86" customWidth="1"/>
    <col min="13799" max="13799" width="9.44140625" style="86" bestFit="1" customWidth="1"/>
    <col min="13800" max="14042" width="8.6640625" style="86"/>
    <col min="14043" max="14043" width="12.6640625" style="86" customWidth="1"/>
    <col min="14044" max="14044" width="60.33203125" style="86" customWidth="1"/>
    <col min="14045" max="14046" width="12.6640625" style="86" customWidth="1"/>
    <col min="14047" max="14047" width="12.33203125" style="86" bestFit="1" customWidth="1"/>
    <col min="14048" max="14048" width="15.6640625" style="86" customWidth="1"/>
    <col min="14049" max="14049" width="17.6640625" style="86" bestFit="1" customWidth="1"/>
    <col min="14050" max="14050" width="8.6640625" style="86"/>
    <col min="14051" max="14051" width="18" style="86" bestFit="1" customWidth="1"/>
    <col min="14052" max="14053" width="8.6640625" style="86"/>
    <col min="14054" max="14054" width="21.6640625" style="86" customWidth="1"/>
    <col min="14055" max="14055" width="9.44140625" style="86" bestFit="1" customWidth="1"/>
    <col min="14056" max="14298" width="8.6640625" style="86"/>
    <col min="14299" max="14299" width="12.6640625" style="86" customWidth="1"/>
    <col min="14300" max="14300" width="60.33203125" style="86" customWidth="1"/>
    <col min="14301" max="14302" width="12.6640625" style="86" customWidth="1"/>
    <col min="14303" max="14303" width="12.33203125" style="86" bestFit="1" customWidth="1"/>
    <col min="14304" max="14304" width="15.6640625" style="86" customWidth="1"/>
    <col min="14305" max="14305" width="17.6640625" style="86" bestFit="1" customWidth="1"/>
    <col min="14306" max="14306" width="8.6640625" style="86"/>
    <col min="14307" max="14307" width="18" style="86" bestFit="1" customWidth="1"/>
    <col min="14308" max="14309" width="8.6640625" style="86"/>
    <col min="14310" max="14310" width="21.6640625" style="86" customWidth="1"/>
    <col min="14311" max="14311" width="9.44140625" style="86" bestFit="1" customWidth="1"/>
    <col min="14312" max="14554" width="8.6640625" style="86"/>
    <col min="14555" max="14555" width="12.6640625" style="86" customWidth="1"/>
    <col min="14556" max="14556" width="60.33203125" style="86" customWidth="1"/>
    <col min="14557" max="14558" width="12.6640625" style="86" customWidth="1"/>
    <col min="14559" max="14559" width="12.33203125" style="86" bestFit="1" customWidth="1"/>
    <col min="14560" max="14560" width="15.6640625" style="86" customWidth="1"/>
    <col min="14561" max="14561" width="17.6640625" style="86" bestFit="1" customWidth="1"/>
    <col min="14562" max="14562" width="8.6640625" style="86"/>
    <col min="14563" max="14563" width="18" style="86" bestFit="1" customWidth="1"/>
    <col min="14564" max="14565" width="8.6640625" style="86"/>
    <col min="14566" max="14566" width="21.6640625" style="86" customWidth="1"/>
    <col min="14567" max="14567" width="9.44140625" style="86" bestFit="1" customWidth="1"/>
    <col min="14568" max="14810" width="8.6640625" style="86"/>
    <col min="14811" max="14811" width="12.6640625" style="86" customWidth="1"/>
    <col min="14812" max="14812" width="60.33203125" style="86" customWidth="1"/>
    <col min="14813" max="14814" width="12.6640625" style="86" customWidth="1"/>
    <col min="14815" max="14815" width="12.33203125" style="86" bestFit="1" customWidth="1"/>
    <col min="14816" max="14816" width="15.6640625" style="86" customWidth="1"/>
    <col min="14817" max="14817" width="17.6640625" style="86" bestFit="1" customWidth="1"/>
    <col min="14818" max="14818" width="8.6640625" style="86"/>
    <col min="14819" max="14819" width="18" style="86" bestFit="1" customWidth="1"/>
    <col min="14820" max="14821" width="8.6640625" style="86"/>
    <col min="14822" max="14822" width="21.6640625" style="86" customWidth="1"/>
    <col min="14823" max="14823" width="9.44140625" style="86" bestFit="1" customWidth="1"/>
    <col min="14824" max="15066" width="8.6640625" style="86"/>
    <col min="15067" max="15067" width="12.6640625" style="86" customWidth="1"/>
    <col min="15068" max="15068" width="60.33203125" style="86" customWidth="1"/>
    <col min="15069" max="15070" width="12.6640625" style="86" customWidth="1"/>
    <col min="15071" max="15071" width="12.33203125" style="86" bestFit="1" customWidth="1"/>
    <col min="15072" max="15072" width="15.6640625" style="86" customWidth="1"/>
    <col min="15073" max="15073" width="17.6640625" style="86" bestFit="1" customWidth="1"/>
    <col min="15074" max="15074" width="8.6640625" style="86"/>
    <col min="15075" max="15075" width="18" style="86" bestFit="1" customWidth="1"/>
    <col min="15076" max="15077" width="8.6640625" style="86"/>
    <col min="15078" max="15078" width="21.6640625" style="86" customWidth="1"/>
    <col min="15079" max="15079" width="9.44140625" style="86" bestFit="1" customWidth="1"/>
    <col min="15080" max="15322" width="8.6640625" style="86"/>
    <col min="15323" max="15323" width="12.6640625" style="86" customWidth="1"/>
    <col min="15324" max="15324" width="60.33203125" style="86" customWidth="1"/>
    <col min="15325" max="15326" width="12.6640625" style="86" customWidth="1"/>
    <col min="15327" max="15327" width="12.33203125" style="86" bestFit="1" customWidth="1"/>
    <col min="15328" max="15328" width="15.6640625" style="86" customWidth="1"/>
    <col min="15329" max="15329" width="17.6640625" style="86" bestFit="1" customWidth="1"/>
    <col min="15330" max="15330" width="8.6640625" style="86"/>
    <col min="15331" max="15331" width="18" style="86" bestFit="1" customWidth="1"/>
    <col min="15332" max="15333" width="8.6640625" style="86"/>
    <col min="15334" max="15334" width="21.6640625" style="86" customWidth="1"/>
    <col min="15335" max="15335" width="9.44140625" style="86" bestFit="1" customWidth="1"/>
    <col min="15336" max="15578" width="8.6640625" style="86"/>
    <col min="15579" max="15579" width="12.6640625" style="86" customWidth="1"/>
    <col min="15580" max="15580" width="60.33203125" style="86" customWidth="1"/>
    <col min="15581" max="15582" width="12.6640625" style="86" customWidth="1"/>
    <col min="15583" max="15583" width="12.33203125" style="86" bestFit="1" customWidth="1"/>
    <col min="15584" max="15584" width="15.6640625" style="86" customWidth="1"/>
    <col min="15585" max="15585" width="17.6640625" style="86" bestFit="1" customWidth="1"/>
    <col min="15586" max="15586" width="8.6640625" style="86"/>
    <col min="15587" max="15587" width="18" style="86" bestFit="1" customWidth="1"/>
    <col min="15588" max="15589" width="8.6640625" style="86"/>
    <col min="15590" max="15590" width="21.6640625" style="86" customWidth="1"/>
    <col min="15591" max="15591" width="9.44140625" style="86" bestFit="1" customWidth="1"/>
    <col min="15592" max="15834" width="8.6640625" style="86"/>
    <col min="15835" max="15835" width="12.6640625" style="86" customWidth="1"/>
    <col min="15836" max="15836" width="60.33203125" style="86" customWidth="1"/>
    <col min="15837" max="15838" width="12.6640625" style="86" customWidth="1"/>
    <col min="15839" max="15839" width="12.33203125" style="86" bestFit="1" customWidth="1"/>
    <col min="15840" max="15840" width="15.6640625" style="86" customWidth="1"/>
    <col min="15841" max="15841" width="17.6640625" style="86" bestFit="1" customWidth="1"/>
    <col min="15842" max="15842" width="8.6640625" style="86"/>
    <col min="15843" max="15843" width="18" style="86" bestFit="1" customWidth="1"/>
    <col min="15844" max="15845" width="8.6640625" style="86"/>
    <col min="15846" max="15846" width="21.6640625" style="86" customWidth="1"/>
    <col min="15847" max="15847" width="9.44140625" style="86" bestFit="1" customWidth="1"/>
    <col min="15848" max="16090" width="8.6640625" style="86"/>
    <col min="16091" max="16091" width="12.6640625" style="86" customWidth="1"/>
    <col min="16092" max="16092" width="60.33203125" style="86" customWidth="1"/>
    <col min="16093" max="16094" width="12.6640625" style="86" customWidth="1"/>
    <col min="16095" max="16095" width="12.33203125" style="86" bestFit="1" customWidth="1"/>
    <col min="16096" max="16096" width="15.6640625" style="86" customWidth="1"/>
    <col min="16097" max="16097" width="17.6640625" style="86" bestFit="1" customWidth="1"/>
    <col min="16098" max="16098" width="8.6640625" style="86"/>
    <col min="16099" max="16099" width="18" style="86" bestFit="1" customWidth="1"/>
    <col min="16100" max="16101" width="8.6640625" style="86"/>
    <col min="16102" max="16102" width="21.6640625" style="86" customWidth="1"/>
    <col min="16103" max="16103" width="9.44140625" style="86" bestFit="1" customWidth="1"/>
    <col min="16104" max="16384" width="8.6640625" style="86"/>
  </cols>
  <sheetData>
    <row r="1" spans="1:13" ht="14.4" thickBot="1">
      <c r="A1" s="337" t="s">
        <v>39</v>
      </c>
      <c r="B1" s="338"/>
      <c r="C1" s="339"/>
      <c r="D1" s="339"/>
      <c r="E1" s="339"/>
      <c r="F1" s="85"/>
    </row>
    <row r="2" spans="1:13" ht="19.95" customHeight="1">
      <c r="A2" s="87"/>
      <c r="B2" s="88"/>
      <c r="C2" s="88"/>
      <c r="D2" s="88"/>
      <c r="E2" s="89"/>
    </row>
    <row r="3" spans="1:13" ht="19.95" customHeight="1">
      <c r="A3" s="285" t="s">
        <v>309</v>
      </c>
      <c r="B3" s="224"/>
      <c r="C3" s="224"/>
      <c r="D3" s="224"/>
      <c r="E3" s="224"/>
      <c r="F3" s="224"/>
      <c r="H3" s="115"/>
      <c r="I3" s="115"/>
      <c r="J3" s="115"/>
      <c r="K3" s="115"/>
    </row>
    <row r="4" spans="1:13" ht="19.95" customHeight="1" thickBot="1">
      <c r="A4" s="224"/>
      <c r="B4" s="224"/>
      <c r="C4" s="224"/>
      <c r="D4" s="224"/>
      <c r="E4" s="224"/>
      <c r="F4" s="224"/>
      <c r="H4" s="115"/>
      <c r="I4" s="115"/>
      <c r="J4" s="115"/>
      <c r="K4" s="115"/>
      <c r="L4" s="86" t="s">
        <v>76</v>
      </c>
      <c r="M4" s="86" t="s">
        <v>279</v>
      </c>
    </row>
    <row r="5" spans="1:13" ht="29.25" customHeight="1">
      <c r="A5" s="292" t="str">
        <f>"Produto "&amp;L5</f>
        <v>Produto 5</v>
      </c>
      <c r="B5" s="340" t="str">
        <f>M5</f>
        <v>Adequação de estudos e documentos de viabilidade técnica, ambiental, econômica e jurídica, com justificativas das alterações das Rodovias Integradas do Paraná</v>
      </c>
      <c r="C5" s="340"/>
      <c r="D5" s="340"/>
      <c r="E5" s="340"/>
      <c r="F5" s="341"/>
      <c r="H5" s="115"/>
      <c r="I5" s="115"/>
      <c r="J5" s="115"/>
      <c r="K5" s="115"/>
      <c r="L5" s="86">
        <v>5</v>
      </c>
      <c r="M5" s="86" t="s">
        <v>280</v>
      </c>
    </row>
    <row r="6" spans="1:13">
      <c r="A6" s="91" t="s">
        <v>3</v>
      </c>
      <c r="B6" s="92" t="s">
        <v>5</v>
      </c>
      <c r="C6" s="92" t="s">
        <v>6</v>
      </c>
      <c r="D6" s="92" t="s">
        <v>7</v>
      </c>
      <c r="E6" s="92" t="s">
        <v>40</v>
      </c>
      <c r="F6" s="93" t="s">
        <v>41</v>
      </c>
      <c r="H6" s="115"/>
      <c r="I6" s="115"/>
      <c r="J6" s="115"/>
      <c r="K6" s="115"/>
      <c r="L6" s="86">
        <f t="shared" ref="L6:L14" si="0">L5+1</f>
        <v>6</v>
      </c>
      <c r="M6" s="86" t="s">
        <v>281</v>
      </c>
    </row>
    <row r="7" spans="1:13">
      <c r="A7" s="297" t="str">
        <f>"valor mês "&amp;A5</f>
        <v>valor mês Produto 5</v>
      </c>
      <c r="B7" s="237" t="str">
        <f>B5</f>
        <v>Adequação de estudos e documentos de viabilidade técnica, ambiental, econômica e jurídica, com justificativas das alterações das Rodovias Integradas do Paraná</v>
      </c>
      <c r="C7" s="38"/>
      <c r="D7" s="243"/>
      <c r="E7" s="42"/>
      <c r="F7" s="238">
        <f>F8+F21+F26</f>
        <v>20096.409219161131</v>
      </c>
      <c r="H7" s="115"/>
      <c r="I7" s="115"/>
      <c r="J7" s="115"/>
      <c r="K7" s="115"/>
      <c r="L7" s="86">
        <f t="shared" si="0"/>
        <v>7</v>
      </c>
      <c r="M7" s="86" t="s">
        <v>282</v>
      </c>
    </row>
    <row r="8" spans="1:13">
      <c r="A8" s="242">
        <v>1</v>
      </c>
      <c r="B8" s="237" t="s">
        <v>45</v>
      </c>
      <c r="C8" s="38"/>
      <c r="D8" s="243"/>
      <c r="E8" s="42"/>
      <c r="F8" s="238">
        <f>SUM(F9:F20)</f>
        <v>10522.600897158196</v>
      </c>
      <c r="H8" s="115"/>
      <c r="I8" s="115"/>
      <c r="J8" s="115"/>
      <c r="K8" s="115"/>
      <c r="L8" s="86">
        <f t="shared" si="0"/>
        <v>8</v>
      </c>
      <c r="M8" s="86" t="s">
        <v>275</v>
      </c>
    </row>
    <row r="9" spans="1:13">
      <c r="A9" s="96"/>
      <c r="B9" s="239" t="s">
        <v>55</v>
      </c>
      <c r="C9" s="38" t="s">
        <v>46</v>
      </c>
      <c r="D9" s="251">
        <f>HLOOKUP(B9,'Estimativa de horas por produto'!$F$33:$P$85,24,0)</f>
        <v>17.600000000000001</v>
      </c>
      <c r="E9" s="148">
        <f>VLOOKUP(B9,'Custo mao de obra Dnit'!A:AB,28,0)</f>
        <v>49.84170454545454</v>
      </c>
      <c r="F9" s="143">
        <f t="shared" ref="F9:F19" si="1">D9*E9</f>
        <v>877.21399999999994</v>
      </c>
      <c r="H9" s="115"/>
      <c r="I9" s="115"/>
      <c r="J9" s="115"/>
      <c r="K9" s="115"/>
      <c r="L9" s="86">
        <f t="shared" si="0"/>
        <v>9</v>
      </c>
      <c r="M9" s="86" t="s">
        <v>283</v>
      </c>
    </row>
    <row r="10" spans="1:13">
      <c r="A10" s="96"/>
      <c r="B10" s="239" t="s">
        <v>56</v>
      </c>
      <c r="C10" s="38" t="s">
        <v>46</v>
      </c>
      <c r="D10" s="251">
        <f>HLOOKUP(B10,'Estimativa de horas por produto'!$F$33:$P$85,24,0)</f>
        <v>8.8000000000000007</v>
      </c>
      <c r="E10" s="148">
        <f>VLOOKUP(B10,'Custo mao de obra Dnit'!A:AB,28,0)</f>
        <v>65.018465909090907</v>
      </c>
      <c r="F10" s="143">
        <f t="shared" si="1"/>
        <v>572.16250000000002</v>
      </c>
      <c r="H10" s="115"/>
      <c r="I10" s="115"/>
      <c r="J10" s="115"/>
      <c r="K10" s="115"/>
      <c r="L10" s="86">
        <f t="shared" si="0"/>
        <v>10</v>
      </c>
      <c r="M10" s="86" t="s">
        <v>284</v>
      </c>
    </row>
    <row r="11" spans="1:13">
      <c r="A11" s="96"/>
      <c r="B11" s="239" t="s">
        <v>57</v>
      </c>
      <c r="C11" s="38" t="s">
        <v>46</v>
      </c>
      <c r="D11" s="251">
        <f>HLOOKUP(B11,'Estimativa de horas por produto'!$F$33:$P$85,24,0)</f>
        <v>8.8000000000000007</v>
      </c>
      <c r="E11" s="148">
        <f>VLOOKUP(B11,'Custo mao de obra Dnit'!A:AB,28,0)</f>
        <v>75.596358262926245</v>
      </c>
      <c r="F11" s="143">
        <f t="shared" si="1"/>
        <v>665.24795271375103</v>
      </c>
      <c r="H11" s="115"/>
      <c r="I11" s="115"/>
      <c r="J11" s="115"/>
      <c r="K11" s="115"/>
      <c r="L11" s="86">
        <f t="shared" si="0"/>
        <v>11</v>
      </c>
      <c r="M11" s="86" t="s">
        <v>285</v>
      </c>
    </row>
    <row r="12" spans="1:13">
      <c r="A12" s="96"/>
      <c r="B12" s="239" t="s">
        <v>58</v>
      </c>
      <c r="C12" s="38" t="s">
        <v>46</v>
      </c>
      <c r="D12" s="251">
        <f>HLOOKUP(B12,'Estimativa de horas por produto'!$F$33:$P$85,24,0)</f>
        <v>12.711111111111112</v>
      </c>
      <c r="E12" s="148">
        <f>VLOOKUP(B12,'Custo mao de obra Dnit'!A:AB,28,0)</f>
        <v>53.100624999999994</v>
      </c>
      <c r="F12" s="143">
        <f t="shared" si="1"/>
        <v>674.96794444444447</v>
      </c>
      <c r="H12" s="115"/>
      <c r="I12" s="115"/>
      <c r="J12" s="115"/>
      <c r="K12" s="115"/>
      <c r="L12" s="86">
        <f t="shared" si="0"/>
        <v>12</v>
      </c>
      <c r="M12" s="86" t="s">
        <v>278</v>
      </c>
    </row>
    <row r="13" spans="1:13" ht="13.8">
      <c r="A13" s="96"/>
      <c r="B13" s="239" t="s">
        <v>59</v>
      </c>
      <c r="C13" s="38" t="s">
        <v>46</v>
      </c>
      <c r="D13" s="251">
        <f>HLOOKUP(B13,'Estimativa de horas por produto'!$F$33:$P$85,24,0)</f>
        <v>9.7777777777777786</v>
      </c>
      <c r="E13" s="148">
        <f>VLOOKUP(B13,'Custo mao de obra Dnit'!A:AB,28,0)</f>
        <v>121.47482954545454</v>
      </c>
      <c r="F13" s="143">
        <f t="shared" si="1"/>
        <v>1187.7538888888889</v>
      </c>
      <c r="H13" s="115"/>
      <c r="I13" s="115"/>
      <c r="J13" s="115"/>
      <c r="K13" s="115"/>
      <c r="L13" s="86">
        <f t="shared" si="0"/>
        <v>13</v>
      </c>
      <c r="M13" s="101" t="s">
        <v>286</v>
      </c>
    </row>
    <row r="14" spans="1:13" ht="13.8">
      <c r="A14" s="96"/>
      <c r="B14" s="239" t="s">
        <v>60</v>
      </c>
      <c r="C14" s="38" t="s">
        <v>46</v>
      </c>
      <c r="D14" s="251">
        <f>HLOOKUP(B14,'Estimativa de horas por produto'!$F$33:$P$85,24,0)</f>
        <v>5.8666666666666663</v>
      </c>
      <c r="E14" s="148">
        <f>VLOOKUP(B14,'Custo mao de obra Dnit'!A:AB,28,0)</f>
        <v>45.856761363636366</v>
      </c>
      <c r="F14" s="143">
        <f t="shared" si="1"/>
        <v>269.02633333333335</v>
      </c>
      <c r="H14" s="115"/>
      <c r="I14" s="115"/>
      <c r="J14" s="115"/>
      <c r="K14" s="115"/>
      <c r="L14" s="86">
        <f t="shared" si="0"/>
        <v>14</v>
      </c>
      <c r="M14" s="101" t="s">
        <v>287</v>
      </c>
    </row>
    <row r="15" spans="1:13">
      <c r="A15" s="96"/>
      <c r="B15" s="239" t="s">
        <v>61</v>
      </c>
      <c r="C15" s="38" t="s">
        <v>46</v>
      </c>
      <c r="D15" s="251">
        <f>HLOOKUP(B15,'Estimativa de horas por produto'!$F$33:$P$85,24,0)</f>
        <v>1.9555555555555553</v>
      </c>
      <c r="E15" s="148">
        <f>VLOOKUP(B15,'Custo mao de obra Dnit'!A:AB,28,0)</f>
        <v>95.24392045454546</v>
      </c>
      <c r="F15" s="143">
        <f t="shared" si="1"/>
        <v>186.25477777777778</v>
      </c>
      <c r="H15" s="115"/>
      <c r="I15" s="115"/>
      <c r="J15" s="115"/>
      <c r="K15" s="115"/>
    </row>
    <row r="16" spans="1:13">
      <c r="A16" s="96"/>
      <c r="B16" s="239" t="s">
        <v>62</v>
      </c>
      <c r="C16" s="38" t="s">
        <v>46</v>
      </c>
      <c r="D16" s="251">
        <f>HLOOKUP(B16,'Estimativa de horas por produto'!$F$33:$P$85,24,0)</f>
        <v>5.8666666666666663</v>
      </c>
      <c r="E16" s="148">
        <f>VLOOKUP(B16,'Custo mao de obra Dnit'!A:AB,28,0)</f>
        <v>95.230852272727276</v>
      </c>
      <c r="F16" s="143">
        <f t="shared" si="1"/>
        <v>558.6876666666667</v>
      </c>
      <c r="H16" s="115"/>
      <c r="I16" s="115"/>
      <c r="J16" s="115"/>
      <c r="K16" s="115"/>
    </row>
    <row r="17" spans="1:11">
      <c r="A17" s="96"/>
      <c r="B17" s="239" t="s">
        <v>63</v>
      </c>
      <c r="C17" s="38" t="s">
        <v>46</v>
      </c>
      <c r="D17" s="251">
        <f>HLOOKUP(B17,'Estimativa de horas por produto'!$F$33:$P$85,24,0)</f>
        <v>5.8666666666666663</v>
      </c>
      <c r="E17" s="148">
        <f>VLOOKUP(B17,'Custo mao de obra Dnit'!A:AB,28,0)</f>
        <v>107.9440909090909</v>
      </c>
      <c r="F17" s="143">
        <f t="shared" si="1"/>
        <v>633.27199999999993</v>
      </c>
      <c r="H17" s="115"/>
      <c r="I17" s="115"/>
      <c r="J17" s="115"/>
      <c r="K17" s="115"/>
    </row>
    <row r="18" spans="1:11">
      <c r="A18" s="96"/>
      <c r="B18" s="239" t="s">
        <v>64</v>
      </c>
      <c r="C18" s="38" t="s">
        <v>46</v>
      </c>
      <c r="D18" s="251">
        <f>HLOOKUP(B18,'Estimativa de horas por produto'!$F$33:$P$85,24,0)</f>
        <v>38.133333333333333</v>
      </c>
      <c r="E18" s="148">
        <f>VLOOKUP(B18,'Custo mao de obra Dnit'!A:AB,28,0)</f>
        <v>95.230852272727276</v>
      </c>
      <c r="F18" s="143">
        <f t="shared" si="1"/>
        <v>3631.4698333333336</v>
      </c>
      <c r="H18" s="115"/>
      <c r="I18" s="115"/>
      <c r="J18" s="115"/>
      <c r="K18" s="115"/>
    </row>
    <row r="19" spans="1:11">
      <c r="A19" s="96"/>
      <c r="B19" s="239" t="s">
        <v>65</v>
      </c>
      <c r="C19" s="38" t="s">
        <v>46</v>
      </c>
      <c r="D19" s="251">
        <f>HLOOKUP(B19,'Estimativa de horas por produto'!$F$33:$P$85,24,0)</f>
        <v>11.733333333333333</v>
      </c>
      <c r="E19" s="148">
        <f>VLOOKUP(B19,'Custo mao de obra Dnit'!A:AB,28,0)</f>
        <v>107.9440909090909</v>
      </c>
      <c r="F19" s="143">
        <f t="shared" si="1"/>
        <v>1266.5439999999999</v>
      </c>
      <c r="H19" s="115"/>
      <c r="I19" s="115"/>
      <c r="J19" s="115"/>
      <c r="K19" s="115"/>
    </row>
    <row r="20" spans="1:11">
      <c r="A20" s="96"/>
      <c r="B20" s="239"/>
      <c r="C20" s="38"/>
      <c r="D20" s="251"/>
      <c r="E20" s="148"/>
      <c r="F20" s="143"/>
      <c r="H20" s="115"/>
      <c r="I20" s="115"/>
      <c r="J20" s="115"/>
      <c r="K20" s="115"/>
    </row>
    <row r="21" spans="1:11">
      <c r="A21" s="242">
        <v>2</v>
      </c>
      <c r="B21" s="237" t="s">
        <v>201</v>
      </c>
      <c r="C21" s="245"/>
      <c r="D21" s="243"/>
      <c r="E21" s="45"/>
      <c r="F21" s="238">
        <f>SUM(F22:F24)</f>
        <v>4584.6972108918262</v>
      </c>
      <c r="H21" s="115"/>
      <c r="I21" s="115"/>
      <c r="J21" s="115"/>
      <c r="K21" s="115"/>
    </row>
    <row r="22" spans="1:11">
      <c r="A22" s="234"/>
      <c r="B22" s="239" t="s">
        <v>223</v>
      </c>
      <c r="C22" s="240" t="s">
        <v>19</v>
      </c>
      <c r="D22" s="244">
        <f>$F$8</f>
        <v>10522.600897158196</v>
      </c>
      <c r="E22" s="252">
        <f>'Custos diversos e BDI - DNIT'!$D$30/100</f>
        <v>0.11110000000000002</v>
      </c>
      <c r="F22" s="236">
        <f>D22*E22</f>
        <v>1169.0609596742759</v>
      </c>
      <c r="H22" s="115"/>
      <c r="I22" s="115"/>
      <c r="J22" s="115"/>
      <c r="K22" s="115"/>
    </row>
    <row r="23" spans="1:11">
      <c r="A23" s="234"/>
      <c r="B23" s="239" t="s">
        <v>224</v>
      </c>
      <c r="C23" s="240" t="s">
        <v>19</v>
      </c>
      <c r="D23" s="244">
        <f t="shared" ref="D23:D24" si="2">$F$8</f>
        <v>10522.600897158196</v>
      </c>
      <c r="E23" s="252">
        <f>'Custos diversos e BDI - DNIT'!$D$33/100</f>
        <v>0.12</v>
      </c>
      <c r="F23" s="236">
        <f t="shared" ref="F23:F24" si="3">D23*E23</f>
        <v>1262.7121076589835</v>
      </c>
      <c r="H23" s="115"/>
      <c r="I23" s="115"/>
      <c r="J23" s="115"/>
      <c r="K23" s="115"/>
    </row>
    <row r="24" spans="1:11">
      <c r="A24" s="234"/>
      <c r="B24" s="239" t="s">
        <v>225</v>
      </c>
      <c r="C24" s="240" t="s">
        <v>19</v>
      </c>
      <c r="D24" s="244">
        <f t="shared" si="2"/>
        <v>10522.600897158196</v>
      </c>
      <c r="E24" s="252">
        <f>'Custos diversos e BDI - DNIT'!$D$38/100</f>
        <v>0.2046</v>
      </c>
      <c r="F24" s="236">
        <f t="shared" si="3"/>
        <v>2152.9241435585668</v>
      </c>
      <c r="H24" s="115"/>
      <c r="I24" s="115"/>
      <c r="J24" s="115"/>
      <c r="K24" s="115"/>
    </row>
    <row r="25" spans="1:11">
      <c r="A25" s="234"/>
      <c r="B25" s="239"/>
      <c r="C25" s="49"/>
      <c r="D25" s="244"/>
      <c r="E25" s="246"/>
      <c r="F25" s="238"/>
      <c r="H25" s="115"/>
      <c r="I25" s="115"/>
      <c r="J25" s="115"/>
      <c r="K25" s="115"/>
    </row>
    <row r="26" spans="1:11">
      <c r="A26" s="102">
        <v>3</v>
      </c>
      <c r="B26" s="103" t="s">
        <v>10</v>
      </c>
      <c r="C26" s="104" t="s">
        <v>46</v>
      </c>
      <c r="D26" s="105">
        <f>SUM(D9:D19)</f>
        <v>127.1111111111111</v>
      </c>
      <c r="E26" s="150">
        <f>'Custo Gerencial'!$G$48</f>
        <v>39.25</v>
      </c>
      <c r="F26" s="106">
        <f>D26*E26</f>
        <v>4989.1111111111104</v>
      </c>
      <c r="H26" s="115"/>
      <c r="I26" s="115"/>
      <c r="J26" s="115"/>
      <c r="K26" s="115"/>
    </row>
    <row r="27" spans="1:11">
      <c r="A27" s="234"/>
      <c r="B27" s="239"/>
      <c r="C27" s="49"/>
      <c r="D27" s="244"/>
      <c r="E27" s="246"/>
      <c r="F27" s="236"/>
      <c r="H27" s="115"/>
      <c r="I27" s="115"/>
      <c r="J27" s="115"/>
      <c r="K27" s="115"/>
    </row>
    <row r="28" spans="1:11" ht="13.8" thickBot="1">
      <c r="A28" s="107"/>
      <c r="B28" s="247" t="s">
        <v>73</v>
      </c>
      <c r="C28" s="109" t="s">
        <v>21</v>
      </c>
      <c r="D28" s="110">
        <v>1</v>
      </c>
      <c r="E28" s="223">
        <f>F7</f>
        <v>20096.409219161131</v>
      </c>
      <c r="F28" s="112">
        <f>E28*D28</f>
        <v>20096.409219161131</v>
      </c>
      <c r="H28" s="115"/>
      <c r="I28" s="115"/>
      <c r="J28" s="115"/>
      <c r="K28" s="115"/>
    </row>
    <row r="29" spans="1:11" ht="19.95" customHeight="1">
      <c r="A29" s="224"/>
      <c r="B29" s="224"/>
      <c r="C29" s="224"/>
      <c r="D29" s="224"/>
      <c r="E29" s="224"/>
      <c r="F29" s="224"/>
      <c r="H29" s="115"/>
      <c r="I29" s="115"/>
      <c r="J29" s="115"/>
      <c r="K29" s="115"/>
    </row>
    <row r="30" spans="1:11" ht="19.95" customHeight="1" thickBot="1">
      <c r="A30" s="224"/>
      <c r="B30" s="224"/>
      <c r="C30" s="224"/>
      <c r="D30" s="224"/>
      <c r="E30" s="224"/>
      <c r="F30" s="224"/>
      <c r="H30" s="115"/>
      <c r="I30" s="115"/>
      <c r="J30" s="115"/>
      <c r="K30" s="115"/>
    </row>
    <row r="31" spans="1:11" ht="29.25" customHeight="1">
      <c r="A31" s="292" t="str">
        <f>"Produto "&amp;L6</f>
        <v>Produto 6</v>
      </c>
      <c r="B31" s="340" t="str">
        <f>M6</f>
        <v>Adequação de estudos e documentos de viabilidade técnica, ambiental, econômica e jurídica, com justificativas das alterações da BR 116/493/RJ/MG (CRT)</v>
      </c>
      <c r="C31" s="340"/>
      <c r="D31" s="340"/>
      <c r="E31" s="340"/>
      <c r="F31" s="341"/>
    </row>
    <row r="32" spans="1:11" ht="19.95" customHeight="1">
      <c r="A32" s="91" t="s">
        <v>3</v>
      </c>
      <c r="B32" s="92" t="s">
        <v>5</v>
      </c>
      <c r="C32" s="92" t="s">
        <v>6</v>
      </c>
      <c r="D32" s="92" t="s">
        <v>7</v>
      </c>
      <c r="E32" s="92" t="s">
        <v>40</v>
      </c>
      <c r="F32" s="93" t="s">
        <v>41</v>
      </c>
    </row>
    <row r="33" spans="1:7" ht="19.95" customHeight="1">
      <c r="A33" s="297" t="str">
        <f>"valor mês "&amp;A31</f>
        <v>valor mês Produto 6</v>
      </c>
      <c r="B33" s="237" t="str">
        <f>B31</f>
        <v>Adequação de estudos e documentos de viabilidade técnica, ambiental, econômica e jurídica, com justificativas das alterações da BR 116/493/RJ/MG (CRT)</v>
      </c>
      <c r="C33" s="38"/>
      <c r="D33" s="243"/>
      <c r="E33" s="42"/>
      <c r="F33" s="238">
        <f>F34+F47+F52</f>
        <v>20096.409219161131</v>
      </c>
    </row>
    <row r="34" spans="1:7">
      <c r="A34" s="242">
        <v>1</v>
      </c>
      <c r="B34" s="237" t="s">
        <v>45</v>
      </c>
      <c r="C34" s="38"/>
      <c r="D34" s="243"/>
      <c r="E34" s="42"/>
      <c r="F34" s="238">
        <f>SUM(F35:F46)</f>
        <v>10522.600897158196</v>
      </c>
    </row>
    <row r="35" spans="1:7">
      <c r="A35" s="96"/>
      <c r="B35" s="239" t="s">
        <v>55</v>
      </c>
      <c r="C35" s="38" t="s">
        <v>46</v>
      </c>
      <c r="D35" s="251">
        <f>HLOOKUP(B35,'Estimativa de horas por produto'!$F$33:$P$85,25,0)</f>
        <v>17.600000000000001</v>
      </c>
      <c r="E35" s="148">
        <f>VLOOKUP(B35,'Custo mao de obra Dnit'!A:AB,28,0)</f>
        <v>49.84170454545454</v>
      </c>
      <c r="F35" s="143">
        <f t="shared" ref="F35:F45" si="4">D35*E35</f>
        <v>877.21399999999994</v>
      </c>
      <c r="G35" s="281"/>
    </row>
    <row r="36" spans="1:7">
      <c r="A36" s="96"/>
      <c r="B36" s="239" t="s">
        <v>56</v>
      </c>
      <c r="C36" s="38" t="s">
        <v>46</v>
      </c>
      <c r="D36" s="251">
        <f>HLOOKUP(B36,'Estimativa de horas por produto'!$F$33:$P$85,25,0)</f>
        <v>8.8000000000000007</v>
      </c>
      <c r="E36" s="148">
        <f>VLOOKUP(B36,'Custo mao de obra Dnit'!A:AB,28,0)</f>
        <v>65.018465909090907</v>
      </c>
      <c r="F36" s="143">
        <f t="shared" si="4"/>
        <v>572.16250000000002</v>
      </c>
      <c r="G36" s="281"/>
    </row>
    <row r="37" spans="1:7">
      <c r="A37" s="96"/>
      <c r="B37" s="239" t="s">
        <v>57</v>
      </c>
      <c r="C37" s="38" t="s">
        <v>46</v>
      </c>
      <c r="D37" s="251">
        <f>HLOOKUP(B37,'Estimativa de horas por produto'!$F$33:$P$85,25,0)</f>
        <v>8.8000000000000007</v>
      </c>
      <c r="E37" s="148">
        <f>VLOOKUP(B37,'Custo mao de obra Dnit'!A:AB,28,0)</f>
        <v>75.596358262926245</v>
      </c>
      <c r="F37" s="143">
        <f t="shared" si="4"/>
        <v>665.24795271375103</v>
      </c>
      <c r="G37" s="281"/>
    </row>
    <row r="38" spans="1:7">
      <c r="A38" s="96"/>
      <c r="B38" s="239" t="s">
        <v>58</v>
      </c>
      <c r="C38" s="38" t="s">
        <v>46</v>
      </c>
      <c r="D38" s="251">
        <f>HLOOKUP(B38,'Estimativa de horas por produto'!$F$33:$P$85,25,0)</f>
        <v>12.711111111111112</v>
      </c>
      <c r="E38" s="148">
        <f>VLOOKUP(B38,'Custo mao de obra Dnit'!A:AB,28,0)</f>
        <v>53.100624999999994</v>
      </c>
      <c r="F38" s="143">
        <f t="shared" si="4"/>
        <v>674.96794444444447</v>
      </c>
      <c r="G38" s="281"/>
    </row>
    <row r="39" spans="1:7">
      <c r="A39" s="96"/>
      <c r="B39" s="239" t="s">
        <v>59</v>
      </c>
      <c r="C39" s="38" t="s">
        <v>46</v>
      </c>
      <c r="D39" s="251">
        <f>HLOOKUP(B39,'Estimativa de horas por produto'!$F$33:$P$85,25,0)</f>
        <v>9.7777777777777786</v>
      </c>
      <c r="E39" s="148">
        <f>VLOOKUP(B39,'Custo mao de obra Dnit'!A:AB,28,0)</f>
        <v>121.47482954545454</v>
      </c>
      <c r="F39" s="143">
        <f t="shared" si="4"/>
        <v>1187.7538888888889</v>
      </c>
      <c r="G39" s="281"/>
    </row>
    <row r="40" spans="1:7">
      <c r="A40" s="96"/>
      <c r="B40" s="239" t="s">
        <v>60</v>
      </c>
      <c r="C40" s="38" t="s">
        <v>46</v>
      </c>
      <c r="D40" s="251">
        <f>HLOOKUP(B40,'Estimativa de horas por produto'!$F$33:$P$85,25,0)</f>
        <v>5.8666666666666663</v>
      </c>
      <c r="E40" s="148">
        <f>VLOOKUP(B40,'Custo mao de obra Dnit'!A:AB,28,0)</f>
        <v>45.856761363636366</v>
      </c>
      <c r="F40" s="143">
        <f t="shared" si="4"/>
        <v>269.02633333333335</v>
      </c>
      <c r="G40" s="281"/>
    </row>
    <row r="41" spans="1:7">
      <c r="A41" s="96"/>
      <c r="B41" s="239" t="s">
        <v>61</v>
      </c>
      <c r="C41" s="38" t="s">
        <v>46</v>
      </c>
      <c r="D41" s="251">
        <f>HLOOKUP(B41,'Estimativa de horas por produto'!$F$33:$P$85,25,0)</f>
        <v>1.9555555555555553</v>
      </c>
      <c r="E41" s="148">
        <f>VLOOKUP(B41,'Custo mao de obra Dnit'!A:AB,28,0)</f>
        <v>95.24392045454546</v>
      </c>
      <c r="F41" s="143">
        <f t="shared" si="4"/>
        <v>186.25477777777778</v>
      </c>
      <c r="G41" s="281"/>
    </row>
    <row r="42" spans="1:7">
      <c r="A42" s="96"/>
      <c r="B42" s="239" t="s">
        <v>62</v>
      </c>
      <c r="C42" s="38" t="s">
        <v>46</v>
      </c>
      <c r="D42" s="251">
        <f>HLOOKUP(B42,'Estimativa de horas por produto'!$F$33:$P$85,25,0)</f>
        <v>5.8666666666666663</v>
      </c>
      <c r="E42" s="148">
        <f>VLOOKUP(B42,'Custo mao de obra Dnit'!A:AB,28,0)</f>
        <v>95.230852272727276</v>
      </c>
      <c r="F42" s="143">
        <f t="shared" si="4"/>
        <v>558.6876666666667</v>
      </c>
      <c r="G42" s="281"/>
    </row>
    <row r="43" spans="1:7">
      <c r="A43" s="96"/>
      <c r="B43" s="239" t="s">
        <v>63</v>
      </c>
      <c r="C43" s="38" t="s">
        <v>46</v>
      </c>
      <c r="D43" s="251">
        <f>HLOOKUP(B43,'Estimativa de horas por produto'!$F$33:$P$85,25,0)</f>
        <v>5.8666666666666663</v>
      </c>
      <c r="E43" s="148">
        <f>VLOOKUP(B43,'Custo mao de obra Dnit'!A:AB,28,0)</f>
        <v>107.9440909090909</v>
      </c>
      <c r="F43" s="143">
        <f t="shared" si="4"/>
        <v>633.27199999999993</v>
      </c>
      <c r="G43" s="281"/>
    </row>
    <row r="44" spans="1:7">
      <c r="A44" s="96"/>
      <c r="B44" s="239" t="s">
        <v>64</v>
      </c>
      <c r="C44" s="38" t="s">
        <v>46</v>
      </c>
      <c r="D44" s="251">
        <f>HLOOKUP(B44,'Estimativa de horas por produto'!$F$33:$P$85,25,0)</f>
        <v>38.133333333333333</v>
      </c>
      <c r="E44" s="148">
        <f>VLOOKUP(B44,'Custo mao de obra Dnit'!A:AB,28,0)</f>
        <v>95.230852272727276</v>
      </c>
      <c r="F44" s="143">
        <f t="shared" si="4"/>
        <v>3631.4698333333336</v>
      </c>
      <c r="G44" s="281"/>
    </row>
    <row r="45" spans="1:7">
      <c r="A45" s="96"/>
      <c r="B45" s="239" t="s">
        <v>65</v>
      </c>
      <c r="C45" s="38" t="s">
        <v>46</v>
      </c>
      <c r="D45" s="251">
        <f>HLOOKUP(B45,'Estimativa de horas por produto'!$F$33:$P$85,25,0)</f>
        <v>11.733333333333333</v>
      </c>
      <c r="E45" s="148">
        <f>VLOOKUP(B45,'Custo mao de obra Dnit'!A:AB,28,0)</f>
        <v>107.9440909090909</v>
      </c>
      <c r="F45" s="143">
        <f t="shared" si="4"/>
        <v>1266.5439999999999</v>
      </c>
      <c r="G45" s="281"/>
    </row>
    <row r="46" spans="1:7">
      <c r="A46" s="96"/>
      <c r="B46" s="239"/>
      <c r="C46" s="38"/>
      <c r="D46" s="251"/>
      <c r="E46" s="148"/>
      <c r="F46" s="143"/>
    </row>
    <row r="47" spans="1:7">
      <c r="A47" s="242">
        <v>2</v>
      </c>
      <c r="B47" s="237" t="s">
        <v>201</v>
      </c>
      <c r="C47" s="245"/>
      <c r="D47" s="243"/>
      <c r="E47" s="45"/>
      <c r="F47" s="238">
        <f>SUM(F48:F50)</f>
        <v>4584.6972108918262</v>
      </c>
    </row>
    <row r="48" spans="1:7" s="101" customFormat="1" ht="13.8">
      <c r="A48" s="234"/>
      <c r="B48" s="239" t="s">
        <v>223</v>
      </c>
      <c r="C48" s="240" t="s">
        <v>19</v>
      </c>
      <c r="D48" s="244">
        <f>$F$34</f>
        <v>10522.600897158196</v>
      </c>
      <c r="E48" s="252">
        <f>'Custos diversos e BDI - DNIT'!$D$30/100</f>
        <v>0.11110000000000002</v>
      </c>
      <c r="F48" s="236">
        <f>D48*E48</f>
        <v>1169.0609596742759</v>
      </c>
    </row>
    <row r="49" spans="1:6" s="101" customFormat="1" ht="13.8">
      <c r="A49" s="234"/>
      <c r="B49" s="239" t="s">
        <v>224</v>
      </c>
      <c r="C49" s="240" t="s">
        <v>19</v>
      </c>
      <c r="D49" s="244">
        <f t="shared" ref="D49:D50" si="5">$F$34</f>
        <v>10522.600897158196</v>
      </c>
      <c r="E49" s="252">
        <f>'Custos diversos e BDI - DNIT'!$D$33/100</f>
        <v>0.12</v>
      </c>
      <c r="F49" s="236">
        <f t="shared" ref="F49:F50" si="6">D49*E49</f>
        <v>1262.7121076589835</v>
      </c>
    </row>
    <row r="50" spans="1:6" s="101" customFormat="1" ht="13.8">
      <c r="A50" s="234"/>
      <c r="B50" s="239" t="s">
        <v>225</v>
      </c>
      <c r="C50" s="240" t="s">
        <v>19</v>
      </c>
      <c r="D50" s="244">
        <f t="shared" si="5"/>
        <v>10522.600897158196</v>
      </c>
      <c r="E50" s="252">
        <f>'Custos diversos e BDI - DNIT'!$D$38/100</f>
        <v>0.2046</v>
      </c>
      <c r="F50" s="236">
        <f t="shared" si="6"/>
        <v>2152.9241435585668</v>
      </c>
    </row>
    <row r="51" spans="1:6" s="101" customFormat="1" ht="13.8">
      <c r="A51" s="234"/>
      <c r="B51" s="239"/>
      <c r="C51" s="49"/>
      <c r="D51" s="244"/>
      <c r="E51" s="246"/>
      <c r="F51" s="238"/>
    </row>
    <row r="52" spans="1:6" s="101" customFormat="1" ht="13.8">
      <c r="A52" s="102">
        <v>3</v>
      </c>
      <c r="B52" s="103" t="s">
        <v>10</v>
      </c>
      <c r="C52" s="104" t="s">
        <v>46</v>
      </c>
      <c r="D52" s="105">
        <f>SUM(D35:D45)</f>
        <v>127.1111111111111</v>
      </c>
      <c r="E52" s="150">
        <f>'Custo Gerencial'!$G$48</f>
        <v>39.25</v>
      </c>
      <c r="F52" s="106">
        <f>D52*E52</f>
        <v>4989.1111111111104</v>
      </c>
    </row>
    <row r="53" spans="1:6" s="101" customFormat="1" ht="13.8">
      <c r="A53" s="234"/>
      <c r="B53" s="239"/>
      <c r="C53" s="49"/>
      <c r="D53" s="244"/>
      <c r="E53" s="246"/>
      <c r="F53" s="236"/>
    </row>
    <row r="54" spans="1:6" s="101" customFormat="1" ht="19.95" customHeight="1" thickBot="1">
      <c r="A54" s="107"/>
      <c r="B54" s="247" t="s">
        <v>73</v>
      </c>
      <c r="C54" s="109" t="s">
        <v>21</v>
      </c>
      <c r="D54" s="110">
        <v>1</v>
      </c>
      <c r="E54" s="223">
        <f>F33</f>
        <v>20096.409219161131</v>
      </c>
      <c r="F54" s="112">
        <f>E54*D54</f>
        <v>20096.409219161131</v>
      </c>
    </row>
    <row r="55" spans="1:6" ht="19.95" customHeight="1">
      <c r="A55" s="224"/>
      <c r="B55" s="224"/>
      <c r="C55" s="224"/>
      <c r="D55" s="224"/>
      <c r="E55" s="224"/>
      <c r="F55" s="224"/>
    </row>
    <row r="56" spans="1:6" ht="13.8" thickBot="1"/>
    <row r="57" spans="1:6" ht="29.25" customHeight="1">
      <c r="A57" s="292" t="str">
        <f>"Produto "&amp;L7</f>
        <v>Produto 7</v>
      </c>
      <c r="B57" s="340" t="str">
        <f>M7</f>
        <v>Adequação de estudos e documentos de viabilidade técnica, ambiental, econômica e jurídica, com justificativas das alterações da BR-470/282/153/SC</v>
      </c>
      <c r="C57" s="340"/>
      <c r="D57" s="340"/>
      <c r="E57" s="340"/>
      <c r="F57" s="341"/>
    </row>
    <row r="58" spans="1:6">
      <c r="A58" s="91" t="s">
        <v>3</v>
      </c>
      <c r="B58" s="92" t="s">
        <v>5</v>
      </c>
      <c r="C58" s="92" t="s">
        <v>6</v>
      </c>
      <c r="D58" s="92" t="s">
        <v>7</v>
      </c>
      <c r="E58" s="92" t="s">
        <v>40</v>
      </c>
      <c r="F58" s="93" t="s">
        <v>41</v>
      </c>
    </row>
    <row r="59" spans="1:6">
      <c r="A59" s="297" t="str">
        <f>"valor mês "&amp;A57</f>
        <v>valor mês Produto 7</v>
      </c>
      <c r="B59" s="237" t="str">
        <f>B57</f>
        <v>Adequação de estudos e documentos de viabilidade técnica, ambiental, econômica e jurídica, com justificativas das alterações da BR-470/282/153/SC</v>
      </c>
      <c r="C59" s="38"/>
      <c r="D59" s="243"/>
      <c r="E59" s="42"/>
      <c r="F59" s="238">
        <f>F60+F73+F78</f>
        <v>20096.409219161131</v>
      </c>
    </row>
    <row r="60" spans="1:6">
      <c r="A60" s="242">
        <v>1</v>
      </c>
      <c r="B60" s="237" t="s">
        <v>45</v>
      </c>
      <c r="C60" s="38"/>
      <c r="D60" s="243"/>
      <c r="E60" s="42"/>
      <c r="F60" s="238">
        <f>SUM(F61:F72)</f>
        <v>10522.600897158196</v>
      </c>
    </row>
    <row r="61" spans="1:6">
      <c r="A61" s="96"/>
      <c r="B61" s="239" t="s">
        <v>55</v>
      </c>
      <c r="C61" s="38" t="s">
        <v>46</v>
      </c>
      <c r="D61" s="251">
        <f>HLOOKUP(B61,'Estimativa de horas por produto'!$F$33:$P$85,26,0)</f>
        <v>17.600000000000001</v>
      </c>
      <c r="E61" s="148">
        <f>VLOOKUP(B61,'Custo mao de obra Dnit'!A:AB,28,0)</f>
        <v>49.84170454545454</v>
      </c>
      <c r="F61" s="143">
        <f t="shared" ref="F61:F71" si="7">D61*E61</f>
        <v>877.21399999999994</v>
      </c>
    </row>
    <row r="62" spans="1:6">
      <c r="A62" s="96"/>
      <c r="B62" s="239" t="s">
        <v>56</v>
      </c>
      <c r="C62" s="38" t="s">
        <v>46</v>
      </c>
      <c r="D62" s="251">
        <f>HLOOKUP(B62,'Estimativa de horas por produto'!$F$33:$P$85,26,0)</f>
        <v>8.8000000000000007</v>
      </c>
      <c r="E62" s="148">
        <f>VLOOKUP(B62,'Custo mao de obra Dnit'!A:AB,28,0)</f>
        <v>65.018465909090907</v>
      </c>
      <c r="F62" s="143">
        <f t="shared" si="7"/>
        <v>572.16250000000002</v>
      </c>
    </row>
    <row r="63" spans="1:6">
      <c r="A63" s="96"/>
      <c r="B63" s="239" t="s">
        <v>57</v>
      </c>
      <c r="C63" s="38" t="s">
        <v>46</v>
      </c>
      <c r="D63" s="251">
        <f>HLOOKUP(B63,'Estimativa de horas por produto'!$F$33:$P$85,26,0)</f>
        <v>8.8000000000000007</v>
      </c>
      <c r="E63" s="148">
        <f>VLOOKUP(B63,'Custo mao de obra Dnit'!A:AB,28,0)</f>
        <v>75.596358262926245</v>
      </c>
      <c r="F63" s="143">
        <f t="shared" si="7"/>
        <v>665.24795271375103</v>
      </c>
    </row>
    <row r="64" spans="1:6">
      <c r="A64" s="96"/>
      <c r="B64" s="239" t="s">
        <v>58</v>
      </c>
      <c r="C64" s="38" t="s">
        <v>46</v>
      </c>
      <c r="D64" s="251">
        <f>HLOOKUP(B64,'Estimativa de horas por produto'!$F$33:$P$85,26,0)</f>
        <v>12.711111111111112</v>
      </c>
      <c r="E64" s="148">
        <f>VLOOKUP(B64,'Custo mao de obra Dnit'!A:AB,28,0)</f>
        <v>53.100624999999994</v>
      </c>
      <c r="F64" s="143">
        <f t="shared" si="7"/>
        <v>674.96794444444447</v>
      </c>
    </row>
    <row r="65" spans="1:6">
      <c r="A65" s="96"/>
      <c r="B65" s="239" t="s">
        <v>59</v>
      </c>
      <c r="C65" s="38" t="s">
        <v>46</v>
      </c>
      <c r="D65" s="251">
        <f>HLOOKUP(B65,'Estimativa de horas por produto'!$F$33:$P$85,26,0)</f>
        <v>9.7777777777777786</v>
      </c>
      <c r="E65" s="148">
        <f>VLOOKUP(B65,'Custo mao de obra Dnit'!A:AB,28,0)</f>
        <v>121.47482954545454</v>
      </c>
      <c r="F65" s="143">
        <f t="shared" si="7"/>
        <v>1187.7538888888889</v>
      </c>
    </row>
    <row r="66" spans="1:6">
      <c r="A66" s="96"/>
      <c r="B66" s="239" t="s">
        <v>60</v>
      </c>
      <c r="C66" s="38" t="s">
        <v>46</v>
      </c>
      <c r="D66" s="251">
        <f>HLOOKUP(B66,'Estimativa de horas por produto'!$F$33:$P$85,26,0)</f>
        <v>5.8666666666666663</v>
      </c>
      <c r="E66" s="148">
        <f>VLOOKUP(B66,'Custo mao de obra Dnit'!A:AB,28,0)</f>
        <v>45.856761363636366</v>
      </c>
      <c r="F66" s="143">
        <f t="shared" si="7"/>
        <v>269.02633333333335</v>
      </c>
    </row>
    <row r="67" spans="1:6">
      <c r="A67" s="96"/>
      <c r="B67" s="239" t="s">
        <v>61</v>
      </c>
      <c r="C67" s="38" t="s">
        <v>46</v>
      </c>
      <c r="D67" s="251">
        <f>HLOOKUP(B67,'Estimativa de horas por produto'!$F$33:$P$85,26,0)</f>
        <v>1.9555555555555553</v>
      </c>
      <c r="E67" s="148">
        <f>VLOOKUP(B67,'Custo mao de obra Dnit'!A:AB,28,0)</f>
        <v>95.24392045454546</v>
      </c>
      <c r="F67" s="143">
        <f t="shared" si="7"/>
        <v>186.25477777777778</v>
      </c>
    </row>
    <row r="68" spans="1:6">
      <c r="A68" s="96"/>
      <c r="B68" s="239" t="s">
        <v>62</v>
      </c>
      <c r="C68" s="38" t="s">
        <v>46</v>
      </c>
      <c r="D68" s="251">
        <f>HLOOKUP(B68,'Estimativa de horas por produto'!$F$33:$P$85,26,0)</f>
        <v>5.8666666666666663</v>
      </c>
      <c r="E68" s="148">
        <f>VLOOKUP(B68,'Custo mao de obra Dnit'!A:AB,28,0)</f>
        <v>95.230852272727276</v>
      </c>
      <c r="F68" s="143">
        <f t="shared" si="7"/>
        <v>558.6876666666667</v>
      </c>
    </row>
    <row r="69" spans="1:6">
      <c r="A69" s="96"/>
      <c r="B69" s="239" t="s">
        <v>63</v>
      </c>
      <c r="C69" s="38" t="s">
        <v>46</v>
      </c>
      <c r="D69" s="251">
        <f>HLOOKUP(B69,'Estimativa de horas por produto'!$F$33:$P$85,26,0)</f>
        <v>5.8666666666666663</v>
      </c>
      <c r="E69" s="148">
        <f>VLOOKUP(B69,'Custo mao de obra Dnit'!A:AB,28,0)</f>
        <v>107.9440909090909</v>
      </c>
      <c r="F69" s="143">
        <f t="shared" si="7"/>
        <v>633.27199999999993</v>
      </c>
    </row>
    <row r="70" spans="1:6">
      <c r="A70" s="96"/>
      <c r="B70" s="239" t="s">
        <v>64</v>
      </c>
      <c r="C70" s="38" t="s">
        <v>46</v>
      </c>
      <c r="D70" s="251">
        <f>HLOOKUP(B70,'Estimativa de horas por produto'!$F$33:$P$85,26,0)</f>
        <v>38.133333333333333</v>
      </c>
      <c r="E70" s="148">
        <f>VLOOKUP(B70,'Custo mao de obra Dnit'!A:AB,28,0)</f>
        <v>95.230852272727276</v>
      </c>
      <c r="F70" s="143">
        <f t="shared" si="7"/>
        <v>3631.4698333333336</v>
      </c>
    </row>
    <row r="71" spans="1:6">
      <c r="A71" s="96"/>
      <c r="B71" s="239" t="s">
        <v>65</v>
      </c>
      <c r="C71" s="38" t="s">
        <v>46</v>
      </c>
      <c r="D71" s="251">
        <f>HLOOKUP(B71,'Estimativa de horas por produto'!$F$33:$P$85,26,0)</f>
        <v>11.733333333333333</v>
      </c>
      <c r="E71" s="148">
        <f>VLOOKUP(B71,'Custo mao de obra Dnit'!A:AB,28,0)</f>
        <v>107.9440909090909</v>
      </c>
      <c r="F71" s="143">
        <f t="shared" si="7"/>
        <v>1266.5439999999999</v>
      </c>
    </row>
    <row r="72" spans="1:6">
      <c r="A72" s="96"/>
      <c r="B72" s="239"/>
      <c r="C72" s="38"/>
      <c r="D72" s="251"/>
      <c r="E72" s="148"/>
      <c r="F72" s="143"/>
    </row>
    <row r="73" spans="1:6">
      <c r="A73" s="242">
        <v>2</v>
      </c>
      <c r="B73" s="237" t="s">
        <v>201</v>
      </c>
      <c r="C73" s="245"/>
      <c r="D73" s="243"/>
      <c r="E73" s="45"/>
      <c r="F73" s="238">
        <f>SUM(F74:F76)</f>
        <v>4584.6972108918262</v>
      </c>
    </row>
    <row r="74" spans="1:6">
      <c r="A74" s="234"/>
      <c r="B74" s="239" t="s">
        <v>223</v>
      </c>
      <c r="C74" s="240" t="s">
        <v>19</v>
      </c>
      <c r="D74" s="244">
        <f>$F$60</f>
        <v>10522.600897158196</v>
      </c>
      <c r="E74" s="252">
        <f>'Custos diversos e BDI - DNIT'!$D$30/100</f>
        <v>0.11110000000000002</v>
      </c>
      <c r="F74" s="236">
        <f>D74*E74</f>
        <v>1169.0609596742759</v>
      </c>
    </row>
    <row r="75" spans="1:6">
      <c r="A75" s="234"/>
      <c r="B75" s="239" t="s">
        <v>224</v>
      </c>
      <c r="C75" s="240" t="s">
        <v>19</v>
      </c>
      <c r="D75" s="244">
        <f t="shared" ref="D75:D76" si="8">$F$60</f>
        <v>10522.600897158196</v>
      </c>
      <c r="E75" s="252">
        <f>'Custos diversos e BDI - DNIT'!$D$33/100</f>
        <v>0.12</v>
      </c>
      <c r="F75" s="236">
        <f t="shared" ref="F75:F76" si="9">D75*E75</f>
        <v>1262.7121076589835</v>
      </c>
    </row>
    <row r="76" spans="1:6">
      <c r="A76" s="234"/>
      <c r="B76" s="239" t="s">
        <v>225</v>
      </c>
      <c r="C76" s="240" t="s">
        <v>19</v>
      </c>
      <c r="D76" s="244">
        <f t="shared" si="8"/>
        <v>10522.600897158196</v>
      </c>
      <c r="E76" s="252">
        <f>'Custos diversos e BDI - DNIT'!$D$38/100</f>
        <v>0.2046</v>
      </c>
      <c r="F76" s="236">
        <f t="shared" si="9"/>
        <v>2152.9241435585668</v>
      </c>
    </row>
    <row r="77" spans="1:6">
      <c r="A77" s="234"/>
      <c r="B77" s="239"/>
      <c r="C77" s="49"/>
      <c r="D77" s="244"/>
      <c r="E77" s="246"/>
      <c r="F77" s="238"/>
    </row>
    <row r="78" spans="1:6">
      <c r="A78" s="102">
        <v>3</v>
      </c>
      <c r="B78" s="103" t="s">
        <v>10</v>
      </c>
      <c r="C78" s="104" t="s">
        <v>46</v>
      </c>
      <c r="D78" s="105">
        <f>SUM(D61:D71)</f>
        <v>127.1111111111111</v>
      </c>
      <c r="E78" s="150">
        <f>'Custo Gerencial'!$G$48</f>
        <v>39.25</v>
      </c>
      <c r="F78" s="106">
        <f>D78*E78</f>
        <v>4989.1111111111104</v>
      </c>
    </row>
    <row r="79" spans="1:6">
      <c r="A79" s="234"/>
      <c r="B79" s="239"/>
      <c r="C79" s="49"/>
      <c r="D79" s="244"/>
      <c r="E79" s="246"/>
      <c r="F79" s="236"/>
    </row>
    <row r="80" spans="1:6" ht="13.8" thickBot="1">
      <c r="A80" s="107"/>
      <c r="B80" s="247" t="s">
        <v>73</v>
      </c>
      <c r="C80" s="109" t="s">
        <v>21</v>
      </c>
      <c r="D80" s="110">
        <v>1</v>
      </c>
      <c r="E80" s="223">
        <f>F59</f>
        <v>20096.409219161131</v>
      </c>
      <c r="F80" s="112">
        <f>E80*D80</f>
        <v>20096.409219161131</v>
      </c>
    </row>
    <row r="82" spans="1:6" ht="13.8" thickBot="1"/>
    <row r="83" spans="1:6" s="294" customFormat="1" ht="29.25" customHeight="1">
      <c r="A83" s="293" t="str">
        <f>"Produto "&amp;L8</f>
        <v>Produto 8</v>
      </c>
      <c r="B83" s="340" t="str">
        <f>M8</f>
        <v>Adequação de estudos e documentos de viabilidade técnica, ambiental, econômica e jurídica, com justificativas das alterações da BR-040/495/MG/RJ (Concer)</v>
      </c>
      <c r="C83" s="340"/>
      <c r="D83" s="340"/>
      <c r="E83" s="340"/>
      <c r="F83" s="341"/>
    </row>
    <row r="84" spans="1:6">
      <c r="A84" s="91" t="s">
        <v>3</v>
      </c>
      <c r="B84" s="92" t="s">
        <v>5</v>
      </c>
      <c r="C84" s="92" t="s">
        <v>6</v>
      </c>
      <c r="D84" s="92" t="s">
        <v>7</v>
      </c>
      <c r="E84" s="92" t="s">
        <v>40</v>
      </c>
      <c r="F84" s="93" t="s">
        <v>41</v>
      </c>
    </row>
    <row r="85" spans="1:6">
      <c r="A85" s="297" t="str">
        <f>"valor mês "&amp;A83</f>
        <v>valor mês Produto 8</v>
      </c>
      <c r="B85" s="237" t="str">
        <f>B83</f>
        <v>Adequação de estudos e documentos de viabilidade técnica, ambiental, econômica e jurídica, com justificativas das alterações da BR-040/495/MG/RJ (Concer)</v>
      </c>
      <c r="C85" s="38"/>
      <c r="D85" s="243"/>
      <c r="E85" s="42"/>
      <c r="F85" s="238">
        <f>F86+F99+F104</f>
        <v>20096.409219161131</v>
      </c>
    </row>
    <row r="86" spans="1:6">
      <c r="A86" s="242">
        <v>1</v>
      </c>
      <c r="B86" s="237" t="s">
        <v>45</v>
      </c>
      <c r="C86" s="38"/>
      <c r="D86" s="243"/>
      <c r="E86" s="42"/>
      <c r="F86" s="238">
        <f>SUM(F87:F98)</f>
        <v>10522.600897158196</v>
      </c>
    </row>
    <row r="87" spans="1:6">
      <c r="A87" s="96"/>
      <c r="B87" s="239" t="s">
        <v>55</v>
      </c>
      <c r="C87" s="38" t="s">
        <v>46</v>
      </c>
      <c r="D87" s="251">
        <f>HLOOKUP(B87,'Estimativa de horas por produto'!$F$33:$P$85,27,0)</f>
        <v>17.600000000000001</v>
      </c>
      <c r="E87" s="148">
        <f>VLOOKUP(B87,'Custo mao de obra Dnit'!A:AB,28,0)</f>
        <v>49.84170454545454</v>
      </c>
      <c r="F87" s="143">
        <f t="shared" ref="F87:F97" si="10">D87*E87</f>
        <v>877.21399999999994</v>
      </c>
    </row>
    <row r="88" spans="1:6">
      <c r="A88" s="96"/>
      <c r="B88" s="239" t="s">
        <v>56</v>
      </c>
      <c r="C88" s="38" t="s">
        <v>46</v>
      </c>
      <c r="D88" s="251">
        <f>HLOOKUP(B88,'Estimativa de horas por produto'!$F$33:$P$85,27,0)</f>
        <v>8.8000000000000007</v>
      </c>
      <c r="E88" s="148">
        <f>VLOOKUP(B88,'Custo mao de obra Dnit'!A:AB,28,0)</f>
        <v>65.018465909090907</v>
      </c>
      <c r="F88" s="143">
        <f t="shared" si="10"/>
        <v>572.16250000000002</v>
      </c>
    </row>
    <row r="89" spans="1:6">
      <c r="A89" s="96"/>
      <c r="B89" s="239" t="s">
        <v>57</v>
      </c>
      <c r="C89" s="38" t="s">
        <v>46</v>
      </c>
      <c r="D89" s="251">
        <f>HLOOKUP(B89,'Estimativa de horas por produto'!$F$33:$P$85,27,0)</f>
        <v>8.8000000000000007</v>
      </c>
      <c r="E89" s="148">
        <f>VLOOKUP(B89,'Custo mao de obra Dnit'!A:AB,28,0)</f>
        <v>75.596358262926245</v>
      </c>
      <c r="F89" s="143">
        <f t="shared" si="10"/>
        <v>665.24795271375103</v>
      </c>
    </row>
    <row r="90" spans="1:6">
      <c r="A90" s="96"/>
      <c r="B90" s="239" t="s">
        <v>58</v>
      </c>
      <c r="C90" s="38" t="s">
        <v>46</v>
      </c>
      <c r="D90" s="251">
        <f>HLOOKUP(B90,'Estimativa de horas por produto'!$F$33:$P$85,27,0)</f>
        <v>12.711111111111112</v>
      </c>
      <c r="E90" s="148">
        <f>VLOOKUP(B90,'Custo mao de obra Dnit'!A:AB,28,0)</f>
        <v>53.100624999999994</v>
      </c>
      <c r="F90" s="143">
        <f t="shared" si="10"/>
        <v>674.96794444444447</v>
      </c>
    </row>
    <row r="91" spans="1:6">
      <c r="A91" s="96"/>
      <c r="B91" s="239" t="s">
        <v>59</v>
      </c>
      <c r="C91" s="38" t="s">
        <v>46</v>
      </c>
      <c r="D91" s="251">
        <f>HLOOKUP(B91,'Estimativa de horas por produto'!$F$33:$P$85,27,0)</f>
        <v>9.7777777777777786</v>
      </c>
      <c r="E91" s="148">
        <f>VLOOKUP(B91,'Custo mao de obra Dnit'!A:AB,28,0)</f>
        <v>121.47482954545454</v>
      </c>
      <c r="F91" s="143">
        <f t="shared" si="10"/>
        <v>1187.7538888888889</v>
      </c>
    </row>
    <row r="92" spans="1:6">
      <c r="A92" s="96"/>
      <c r="B92" s="239" t="s">
        <v>60</v>
      </c>
      <c r="C92" s="38" t="s">
        <v>46</v>
      </c>
      <c r="D92" s="251">
        <f>HLOOKUP(B92,'Estimativa de horas por produto'!$F$33:$P$85,27,0)</f>
        <v>5.8666666666666663</v>
      </c>
      <c r="E92" s="148">
        <f>VLOOKUP(B92,'Custo mao de obra Dnit'!A:AB,28,0)</f>
        <v>45.856761363636366</v>
      </c>
      <c r="F92" s="143">
        <f t="shared" si="10"/>
        <v>269.02633333333335</v>
      </c>
    </row>
    <row r="93" spans="1:6">
      <c r="A93" s="96"/>
      <c r="B93" s="239" t="s">
        <v>61</v>
      </c>
      <c r="C93" s="38" t="s">
        <v>46</v>
      </c>
      <c r="D93" s="251">
        <f>HLOOKUP(B93,'Estimativa de horas por produto'!$F$33:$P$85,27,0)</f>
        <v>1.9555555555555553</v>
      </c>
      <c r="E93" s="148">
        <f>VLOOKUP(B93,'Custo mao de obra Dnit'!A:AB,28,0)</f>
        <v>95.24392045454546</v>
      </c>
      <c r="F93" s="143">
        <f t="shared" si="10"/>
        <v>186.25477777777778</v>
      </c>
    </row>
    <row r="94" spans="1:6">
      <c r="A94" s="96"/>
      <c r="B94" s="239" t="s">
        <v>62</v>
      </c>
      <c r="C94" s="38" t="s">
        <v>46</v>
      </c>
      <c r="D94" s="251">
        <f>HLOOKUP(B94,'Estimativa de horas por produto'!$F$33:$P$85,27,0)</f>
        <v>5.8666666666666663</v>
      </c>
      <c r="E94" s="148">
        <f>VLOOKUP(B94,'Custo mao de obra Dnit'!A:AB,28,0)</f>
        <v>95.230852272727276</v>
      </c>
      <c r="F94" s="143">
        <f t="shared" si="10"/>
        <v>558.6876666666667</v>
      </c>
    </row>
    <row r="95" spans="1:6">
      <c r="A95" s="96"/>
      <c r="B95" s="239" t="s">
        <v>63</v>
      </c>
      <c r="C95" s="38" t="s">
        <v>46</v>
      </c>
      <c r="D95" s="251">
        <f>HLOOKUP(B95,'Estimativa de horas por produto'!$F$33:$P$85,27,0)</f>
        <v>5.8666666666666663</v>
      </c>
      <c r="E95" s="148">
        <f>VLOOKUP(B95,'Custo mao de obra Dnit'!A:AB,28,0)</f>
        <v>107.9440909090909</v>
      </c>
      <c r="F95" s="143">
        <f t="shared" si="10"/>
        <v>633.27199999999993</v>
      </c>
    </row>
    <row r="96" spans="1:6">
      <c r="A96" s="96"/>
      <c r="B96" s="239" t="s">
        <v>64</v>
      </c>
      <c r="C96" s="38" t="s">
        <v>46</v>
      </c>
      <c r="D96" s="251">
        <f>HLOOKUP(B96,'Estimativa de horas por produto'!$F$33:$P$85,27,0)</f>
        <v>38.133333333333333</v>
      </c>
      <c r="E96" s="148">
        <f>VLOOKUP(B96,'Custo mao de obra Dnit'!A:AB,28,0)</f>
        <v>95.230852272727276</v>
      </c>
      <c r="F96" s="143">
        <f t="shared" si="10"/>
        <v>3631.4698333333336</v>
      </c>
    </row>
    <row r="97" spans="1:6">
      <c r="A97" s="96"/>
      <c r="B97" s="239" t="s">
        <v>65</v>
      </c>
      <c r="C97" s="38" t="s">
        <v>46</v>
      </c>
      <c r="D97" s="251">
        <f>HLOOKUP(B97,'Estimativa de horas por produto'!$F$33:$P$85,27,0)</f>
        <v>11.733333333333333</v>
      </c>
      <c r="E97" s="148">
        <f>VLOOKUP(B97,'Custo mao de obra Dnit'!A:AB,28,0)</f>
        <v>107.9440909090909</v>
      </c>
      <c r="F97" s="143">
        <f t="shared" si="10"/>
        <v>1266.5439999999999</v>
      </c>
    </row>
    <row r="98" spans="1:6">
      <c r="A98" s="96"/>
      <c r="B98" s="239"/>
      <c r="C98" s="38"/>
      <c r="D98" s="251"/>
      <c r="E98" s="148"/>
      <c r="F98" s="143"/>
    </row>
    <row r="99" spans="1:6">
      <c r="A99" s="242">
        <v>2</v>
      </c>
      <c r="B99" s="237" t="s">
        <v>201</v>
      </c>
      <c r="C99" s="245"/>
      <c r="D99" s="243"/>
      <c r="E99" s="45"/>
      <c r="F99" s="238">
        <f>SUM(F100:F102)</f>
        <v>4584.6972108918262</v>
      </c>
    </row>
    <row r="100" spans="1:6">
      <c r="A100" s="234"/>
      <c r="B100" s="239" t="s">
        <v>223</v>
      </c>
      <c r="C100" s="240" t="s">
        <v>19</v>
      </c>
      <c r="D100" s="244">
        <f>$F$86</f>
        <v>10522.600897158196</v>
      </c>
      <c r="E100" s="252">
        <f>'Custos diversos e BDI - DNIT'!$D$30/100</f>
        <v>0.11110000000000002</v>
      </c>
      <c r="F100" s="236">
        <f>D100*E100</f>
        <v>1169.0609596742759</v>
      </c>
    </row>
    <row r="101" spans="1:6">
      <c r="A101" s="234"/>
      <c r="B101" s="239" t="s">
        <v>224</v>
      </c>
      <c r="C101" s="240" t="s">
        <v>19</v>
      </c>
      <c r="D101" s="244">
        <f t="shared" ref="D101:D102" si="11">$F$86</f>
        <v>10522.600897158196</v>
      </c>
      <c r="E101" s="252">
        <f>'Custos diversos e BDI - DNIT'!$D$33/100</f>
        <v>0.12</v>
      </c>
      <c r="F101" s="236">
        <f t="shared" ref="F101:F102" si="12">D101*E101</f>
        <v>1262.7121076589835</v>
      </c>
    </row>
    <row r="102" spans="1:6">
      <c r="A102" s="234"/>
      <c r="B102" s="239" t="s">
        <v>225</v>
      </c>
      <c r="C102" s="240" t="s">
        <v>19</v>
      </c>
      <c r="D102" s="244">
        <f t="shared" si="11"/>
        <v>10522.600897158196</v>
      </c>
      <c r="E102" s="252">
        <f>'Custos diversos e BDI - DNIT'!$D$38/100</f>
        <v>0.2046</v>
      </c>
      <c r="F102" s="236">
        <f t="shared" si="12"/>
        <v>2152.9241435585668</v>
      </c>
    </row>
    <row r="103" spans="1:6">
      <c r="A103" s="234"/>
      <c r="B103" s="239"/>
      <c r="C103" s="49"/>
      <c r="D103" s="244"/>
      <c r="E103" s="246"/>
      <c r="F103" s="238"/>
    </row>
    <row r="104" spans="1:6">
      <c r="A104" s="102">
        <v>3</v>
      </c>
      <c r="B104" s="103" t="s">
        <v>10</v>
      </c>
      <c r="C104" s="104" t="s">
        <v>46</v>
      </c>
      <c r="D104" s="105">
        <f>SUM(D87:D97)</f>
        <v>127.1111111111111</v>
      </c>
      <c r="E104" s="150">
        <f>'Custo Gerencial'!$G$48</f>
        <v>39.25</v>
      </c>
      <c r="F104" s="106">
        <f>D104*E104</f>
        <v>4989.1111111111104</v>
      </c>
    </row>
    <row r="105" spans="1:6">
      <c r="A105" s="234"/>
      <c r="B105" s="239"/>
      <c r="C105" s="49"/>
      <c r="D105" s="244"/>
      <c r="E105" s="246"/>
      <c r="F105" s="236"/>
    </row>
    <row r="106" spans="1:6" ht="13.8" thickBot="1">
      <c r="A106" s="107"/>
      <c r="B106" s="247" t="s">
        <v>73</v>
      </c>
      <c r="C106" s="109" t="s">
        <v>21</v>
      </c>
      <c r="D106" s="110">
        <v>1</v>
      </c>
      <c r="E106" s="223">
        <f>F85</f>
        <v>20096.409219161131</v>
      </c>
      <c r="F106" s="112">
        <f>E106*D106</f>
        <v>20096.409219161131</v>
      </c>
    </row>
    <row r="108" spans="1:6" ht="13.8" thickBot="1"/>
    <row r="109" spans="1:6" s="294" customFormat="1" ht="29.25" customHeight="1">
      <c r="A109" s="293" t="str">
        <f>"Produto "&amp;L9</f>
        <v>Produto 9</v>
      </c>
      <c r="B109" s="340" t="str">
        <f>M9</f>
        <v>Adequação de estudos e documentos de viabilidade técnica, ambiental, econômica e jurídica, com justificativas das alterações da Rodovias Contratação BNDES (5.300 km)</v>
      </c>
      <c r="C109" s="340"/>
      <c r="D109" s="340"/>
      <c r="E109" s="340"/>
      <c r="F109" s="341"/>
    </row>
    <row r="110" spans="1:6">
      <c r="A110" s="91" t="s">
        <v>3</v>
      </c>
      <c r="B110" s="92" t="s">
        <v>5</v>
      </c>
      <c r="C110" s="92" t="s">
        <v>6</v>
      </c>
      <c r="D110" s="92" t="s">
        <v>7</v>
      </c>
      <c r="E110" s="92" t="s">
        <v>40</v>
      </c>
      <c r="F110" s="93" t="s">
        <v>41</v>
      </c>
    </row>
    <row r="111" spans="1:6">
      <c r="A111" s="297" t="str">
        <f>"valor mês "&amp;A109</f>
        <v>valor mês Produto 9</v>
      </c>
      <c r="B111" s="237" t="str">
        <f>B109</f>
        <v>Adequação de estudos e documentos de viabilidade técnica, ambiental, econômica e jurídica, com justificativas das alterações da Rodovias Contratação BNDES (5.300 km)</v>
      </c>
      <c r="C111" s="38"/>
      <c r="D111" s="243"/>
      <c r="E111" s="42"/>
      <c r="F111" s="238">
        <f>F112+F125+F130</f>
        <v>20096.409219161131</v>
      </c>
    </row>
    <row r="112" spans="1:6">
      <c r="A112" s="242">
        <v>1</v>
      </c>
      <c r="B112" s="237" t="s">
        <v>45</v>
      </c>
      <c r="C112" s="38"/>
      <c r="D112" s="243"/>
      <c r="E112" s="42"/>
      <c r="F112" s="238">
        <f>SUM(F113:F124)</f>
        <v>10522.600897158196</v>
      </c>
    </row>
    <row r="113" spans="1:6">
      <c r="A113" s="96"/>
      <c r="B113" s="239" t="s">
        <v>55</v>
      </c>
      <c r="C113" s="38" t="s">
        <v>46</v>
      </c>
      <c r="D113" s="251">
        <f>HLOOKUP(B113,'Estimativa de horas por produto'!$F$33:$P$85,28,0)</f>
        <v>17.600000000000001</v>
      </c>
      <c r="E113" s="148">
        <f>VLOOKUP(B113,'Custo mao de obra Dnit'!A:AB,28,0)</f>
        <v>49.84170454545454</v>
      </c>
      <c r="F113" s="143">
        <f t="shared" ref="F113:F123" si="13">D113*E113</f>
        <v>877.21399999999994</v>
      </c>
    </row>
    <row r="114" spans="1:6">
      <c r="A114" s="96"/>
      <c r="B114" s="239" t="s">
        <v>56</v>
      </c>
      <c r="C114" s="38" t="s">
        <v>46</v>
      </c>
      <c r="D114" s="251">
        <f>HLOOKUP(B114,'Estimativa de horas por produto'!$F$33:$P$85,28,0)</f>
        <v>8.8000000000000007</v>
      </c>
      <c r="E114" s="148">
        <f>VLOOKUP(B114,'Custo mao de obra Dnit'!A:AB,28,0)</f>
        <v>65.018465909090907</v>
      </c>
      <c r="F114" s="143">
        <f t="shared" si="13"/>
        <v>572.16250000000002</v>
      </c>
    </row>
    <row r="115" spans="1:6">
      <c r="A115" s="96"/>
      <c r="B115" s="239" t="s">
        <v>57</v>
      </c>
      <c r="C115" s="38" t="s">
        <v>46</v>
      </c>
      <c r="D115" s="251">
        <f>HLOOKUP(B115,'Estimativa de horas por produto'!$F$33:$P$85,28,0)</f>
        <v>8.8000000000000007</v>
      </c>
      <c r="E115" s="148">
        <f>VLOOKUP(B115,'Custo mao de obra Dnit'!A:AB,28,0)</f>
        <v>75.596358262926245</v>
      </c>
      <c r="F115" s="143">
        <f t="shared" si="13"/>
        <v>665.24795271375103</v>
      </c>
    </row>
    <row r="116" spans="1:6">
      <c r="A116" s="96"/>
      <c r="B116" s="239" t="s">
        <v>58</v>
      </c>
      <c r="C116" s="38" t="s">
        <v>46</v>
      </c>
      <c r="D116" s="251">
        <f>HLOOKUP(B116,'Estimativa de horas por produto'!$F$33:$P$85,28,0)</f>
        <v>12.711111111111112</v>
      </c>
      <c r="E116" s="148">
        <f>VLOOKUP(B116,'Custo mao de obra Dnit'!A:AB,28,0)</f>
        <v>53.100624999999994</v>
      </c>
      <c r="F116" s="143">
        <f t="shared" si="13"/>
        <v>674.96794444444447</v>
      </c>
    </row>
    <row r="117" spans="1:6">
      <c r="A117" s="96"/>
      <c r="B117" s="239" t="s">
        <v>59</v>
      </c>
      <c r="C117" s="38" t="s">
        <v>46</v>
      </c>
      <c r="D117" s="251">
        <f>HLOOKUP(B117,'Estimativa de horas por produto'!$F$33:$P$85,28,0)</f>
        <v>9.7777777777777786</v>
      </c>
      <c r="E117" s="148">
        <f>VLOOKUP(B117,'Custo mao de obra Dnit'!A:AB,28,0)</f>
        <v>121.47482954545454</v>
      </c>
      <c r="F117" s="143">
        <f t="shared" si="13"/>
        <v>1187.7538888888889</v>
      </c>
    </row>
    <row r="118" spans="1:6">
      <c r="A118" s="96"/>
      <c r="B118" s="239" t="s">
        <v>60</v>
      </c>
      <c r="C118" s="38" t="s">
        <v>46</v>
      </c>
      <c r="D118" s="251">
        <f>HLOOKUP(B118,'Estimativa de horas por produto'!$F$33:$P$85,28,0)</f>
        <v>5.8666666666666663</v>
      </c>
      <c r="E118" s="148">
        <f>VLOOKUP(B118,'Custo mao de obra Dnit'!A:AB,28,0)</f>
        <v>45.856761363636366</v>
      </c>
      <c r="F118" s="143">
        <f t="shared" si="13"/>
        <v>269.02633333333335</v>
      </c>
    </row>
    <row r="119" spans="1:6">
      <c r="A119" s="96"/>
      <c r="B119" s="239" t="s">
        <v>61</v>
      </c>
      <c r="C119" s="38" t="s">
        <v>46</v>
      </c>
      <c r="D119" s="251">
        <f>HLOOKUP(B119,'Estimativa de horas por produto'!$F$33:$P$85,28,0)</f>
        <v>1.9555555555555553</v>
      </c>
      <c r="E119" s="148">
        <f>VLOOKUP(B119,'Custo mao de obra Dnit'!A:AB,28,0)</f>
        <v>95.24392045454546</v>
      </c>
      <c r="F119" s="143">
        <f t="shared" si="13"/>
        <v>186.25477777777778</v>
      </c>
    </row>
    <row r="120" spans="1:6">
      <c r="A120" s="96"/>
      <c r="B120" s="239" t="s">
        <v>62</v>
      </c>
      <c r="C120" s="38" t="s">
        <v>46</v>
      </c>
      <c r="D120" s="251">
        <f>HLOOKUP(B120,'Estimativa de horas por produto'!$F$33:$P$85,28,0)</f>
        <v>5.8666666666666663</v>
      </c>
      <c r="E120" s="148">
        <f>VLOOKUP(B120,'Custo mao de obra Dnit'!A:AB,28,0)</f>
        <v>95.230852272727276</v>
      </c>
      <c r="F120" s="143">
        <f t="shared" si="13"/>
        <v>558.6876666666667</v>
      </c>
    </row>
    <row r="121" spans="1:6">
      <c r="A121" s="96"/>
      <c r="B121" s="239" t="s">
        <v>63</v>
      </c>
      <c r="C121" s="38" t="s">
        <v>46</v>
      </c>
      <c r="D121" s="251">
        <f>HLOOKUP(B121,'Estimativa de horas por produto'!$F$33:$P$85,28,0)</f>
        <v>5.8666666666666663</v>
      </c>
      <c r="E121" s="148">
        <f>VLOOKUP(B121,'Custo mao de obra Dnit'!A:AB,28,0)</f>
        <v>107.9440909090909</v>
      </c>
      <c r="F121" s="143">
        <f t="shared" si="13"/>
        <v>633.27199999999993</v>
      </c>
    </row>
    <row r="122" spans="1:6">
      <c r="A122" s="96"/>
      <c r="B122" s="239" t="s">
        <v>64</v>
      </c>
      <c r="C122" s="38" t="s">
        <v>46</v>
      </c>
      <c r="D122" s="251">
        <f>HLOOKUP(B122,'Estimativa de horas por produto'!$F$33:$P$85,28,0)</f>
        <v>38.133333333333333</v>
      </c>
      <c r="E122" s="148">
        <f>VLOOKUP(B122,'Custo mao de obra Dnit'!A:AB,28,0)</f>
        <v>95.230852272727276</v>
      </c>
      <c r="F122" s="143">
        <f t="shared" si="13"/>
        <v>3631.4698333333336</v>
      </c>
    </row>
    <row r="123" spans="1:6">
      <c r="A123" s="96"/>
      <c r="B123" s="239" t="s">
        <v>65</v>
      </c>
      <c r="C123" s="38" t="s">
        <v>46</v>
      </c>
      <c r="D123" s="251">
        <f>HLOOKUP(B123,'Estimativa de horas por produto'!$F$33:$P$85,28,0)</f>
        <v>11.733333333333333</v>
      </c>
      <c r="E123" s="148">
        <f>VLOOKUP(B123,'Custo mao de obra Dnit'!A:AB,28,0)</f>
        <v>107.9440909090909</v>
      </c>
      <c r="F123" s="143">
        <f t="shared" si="13"/>
        <v>1266.5439999999999</v>
      </c>
    </row>
    <row r="124" spans="1:6">
      <c r="A124" s="96"/>
      <c r="B124" s="239"/>
      <c r="C124" s="38"/>
      <c r="D124" s="251"/>
      <c r="E124" s="148"/>
      <c r="F124" s="143"/>
    </row>
    <row r="125" spans="1:6">
      <c r="A125" s="242">
        <v>2</v>
      </c>
      <c r="B125" s="237" t="s">
        <v>201</v>
      </c>
      <c r="C125" s="245"/>
      <c r="D125" s="243"/>
      <c r="E125" s="45"/>
      <c r="F125" s="238">
        <f>SUM(F126:F128)</f>
        <v>4584.6972108918262</v>
      </c>
    </row>
    <row r="126" spans="1:6">
      <c r="A126" s="234"/>
      <c r="B126" s="239" t="s">
        <v>223</v>
      </c>
      <c r="C126" s="240" t="s">
        <v>19</v>
      </c>
      <c r="D126" s="244">
        <f>$F$112</f>
        <v>10522.600897158196</v>
      </c>
      <c r="E126" s="252">
        <f>'Custos diversos e BDI - DNIT'!$D$30/100</f>
        <v>0.11110000000000002</v>
      </c>
      <c r="F126" s="236">
        <f>D126*E126</f>
        <v>1169.0609596742759</v>
      </c>
    </row>
    <row r="127" spans="1:6">
      <c r="A127" s="234"/>
      <c r="B127" s="239" t="s">
        <v>224</v>
      </c>
      <c r="C127" s="240" t="s">
        <v>19</v>
      </c>
      <c r="D127" s="244">
        <f t="shared" ref="D127:D128" si="14">$F$112</f>
        <v>10522.600897158196</v>
      </c>
      <c r="E127" s="252">
        <f>'Custos diversos e BDI - DNIT'!$D$33/100</f>
        <v>0.12</v>
      </c>
      <c r="F127" s="236">
        <f t="shared" ref="F127:F128" si="15">D127*E127</f>
        <v>1262.7121076589835</v>
      </c>
    </row>
    <row r="128" spans="1:6">
      <c r="A128" s="234"/>
      <c r="B128" s="239" t="s">
        <v>225</v>
      </c>
      <c r="C128" s="240" t="s">
        <v>19</v>
      </c>
      <c r="D128" s="244">
        <f t="shared" si="14"/>
        <v>10522.600897158196</v>
      </c>
      <c r="E128" s="252">
        <f>'Custos diversos e BDI - DNIT'!$D$38/100</f>
        <v>0.2046</v>
      </c>
      <c r="F128" s="236">
        <f t="shared" si="15"/>
        <v>2152.9241435585668</v>
      </c>
    </row>
    <row r="129" spans="1:6">
      <c r="A129" s="234"/>
      <c r="B129" s="239"/>
      <c r="C129" s="49"/>
      <c r="D129" s="244"/>
      <c r="E129" s="246"/>
      <c r="F129" s="238"/>
    </row>
    <row r="130" spans="1:6">
      <c r="A130" s="102">
        <v>3</v>
      </c>
      <c r="B130" s="103" t="s">
        <v>10</v>
      </c>
      <c r="C130" s="104" t="s">
        <v>46</v>
      </c>
      <c r="D130" s="105">
        <f>SUM(D113:D123)</f>
        <v>127.1111111111111</v>
      </c>
      <c r="E130" s="150">
        <f>'Custo Gerencial'!$G$48</f>
        <v>39.25</v>
      </c>
      <c r="F130" s="106">
        <f>D130*E130</f>
        <v>4989.1111111111104</v>
      </c>
    </row>
    <row r="131" spans="1:6">
      <c r="A131" s="234"/>
      <c r="B131" s="239"/>
      <c r="C131" s="49"/>
      <c r="D131" s="244"/>
      <c r="E131" s="246"/>
      <c r="F131" s="236"/>
    </row>
    <row r="132" spans="1:6" ht="13.8" thickBot="1">
      <c r="A132" s="107"/>
      <c r="B132" s="247" t="s">
        <v>73</v>
      </c>
      <c r="C132" s="109" t="s">
        <v>21</v>
      </c>
      <c r="D132" s="110">
        <v>1</v>
      </c>
      <c r="E132" s="223">
        <f>F111</f>
        <v>20096.409219161131</v>
      </c>
      <c r="F132" s="112">
        <f>E132*D132</f>
        <v>20096.409219161131</v>
      </c>
    </row>
    <row r="134" spans="1:6" ht="13.8" thickBot="1"/>
    <row r="135" spans="1:6" s="294" customFormat="1" ht="29.25" customHeight="1">
      <c r="A135" s="293" t="str">
        <f>"Produto "&amp;L10</f>
        <v>Produto 10</v>
      </c>
      <c r="B135" s="340" t="str">
        <f>M10</f>
        <v>Adequação de estudos e documentos de viabilidade técnica, ambiental, econômica e jurídica, com justificativas das alterações da BR-040/DF/GO/MG</v>
      </c>
      <c r="C135" s="340"/>
      <c r="D135" s="340"/>
      <c r="E135" s="340"/>
      <c r="F135" s="341"/>
    </row>
    <row r="136" spans="1:6">
      <c r="A136" s="91" t="s">
        <v>3</v>
      </c>
      <c r="B136" s="92" t="s">
        <v>5</v>
      </c>
      <c r="C136" s="92" t="s">
        <v>6</v>
      </c>
      <c r="D136" s="92" t="s">
        <v>7</v>
      </c>
      <c r="E136" s="92" t="s">
        <v>40</v>
      </c>
      <c r="F136" s="93" t="s">
        <v>41</v>
      </c>
    </row>
    <row r="137" spans="1:6">
      <c r="A137" s="297" t="str">
        <f>"valor mês "&amp;A135</f>
        <v>valor mês Produto 10</v>
      </c>
      <c r="B137" s="237" t="str">
        <f>B135</f>
        <v>Adequação de estudos e documentos de viabilidade técnica, ambiental, econômica e jurídica, com justificativas das alterações da BR-040/DF/GO/MG</v>
      </c>
      <c r="C137" s="38"/>
      <c r="D137" s="243"/>
      <c r="E137" s="42"/>
      <c r="F137" s="238">
        <f>F138+F151+F156</f>
        <v>20096.409219161131</v>
      </c>
    </row>
    <row r="138" spans="1:6">
      <c r="A138" s="242">
        <v>1</v>
      </c>
      <c r="B138" s="237" t="s">
        <v>45</v>
      </c>
      <c r="C138" s="38"/>
      <c r="D138" s="243"/>
      <c r="E138" s="42"/>
      <c r="F138" s="238">
        <f>SUM(F139:F150)</f>
        <v>10522.600897158196</v>
      </c>
    </row>
    <row r="139" spans="1:6">
      <c r="A139" s="96"/>
      <c r="B139" s="239" t="s">
        <v>55</v>
      </c>
      <c r="C139" s="38" t="s">
        <v>46</v>
      </c>
      <c r="D139" s="251">
        <f>HLOOKUP(B139,'Estimativa de horas por produto'!$F$33:$P$85,29,0)</f>
        <v>17.600000000000001</v>
      </c>
      <c r="E139" s="148">
        <f>VLOOKUP(B139,'Custo mao de obra Dnit'!A:AB,28,0)</f>
        <v>49.84170454545454</v>
      </c>
      <c r="F139" s="143">
        <f t="shared" ref="F139:F149" si="16">D139*E139</f>
        <v>877.21399999999994</v>
      </c>
    </row>
    <row r="140" spans="1:6">
      <c r="A140" s="96"/>
      <c r="B140" s="239" t="s">
        <v>56</v>
      </c>
      <c r="C140" s="38" t="s">
        <v>46</v>
      </c>
      <c r="D140" s="251">
        <f>HLOOKUP(B140,'Estimativa de horas por produto'!$F$33:$P$85,29,0)</f>
        <v>8.8000000000000007</v>
      </c>
      <c r="E140" s="148">
        <f>VLOOKUP(B140,'Custo mao de obra Dnit'!A:AB,28,0)</f>
        <v>65.018465909090907</v>
      </c>
      <c r="F140" s="143">
        <f t="shared" si="16"/>
        <v>572.16250000000002</v>
      </c>
    </row>
    <row r="141" spans="1:6">
      <c r="A141" s="96"/>
      <c r="B141" s="239" t="s">
        <v>57</v>
      </c>
      <c r="C141" s="38" t="s">
        <v>46</v>
      </c>
      <c r="D141" s="251">
        <f>HLOOKUP(B141,'Estimativa de horas por produto'!$F$33:$P$85,29,0)</f>
        <v>8.8000000000000007</v>
      </c>
      <c r="E141" s="148">
        <f>VLOOKUP(B141,'Custo mao de obra Dnit'!A:AB,28,0)</f>
        <v>75.596358262926245</v>
      </c>
      <c r="F141" s="143">
        <f t="shared" si="16"/>
        <v>665.24795271375103</v>
      </c>
    </row>
    <row r="142" spans="1:6">
      <c r="A142" s="96"/>
      <c r="B142" s="239" t="s">
        <v>58</v>
      </c>
      <c r="C142" s="38" t="s">
        <v>46</v>
      </c>
      <c r="D142" s="251">
        <f>HLOOKUP(B142,'Estimativa de horas por produto'!$F$33:$P$85,29,0)</f>
        <v>12.711111111111112</v>
      </c>
      <c r="E142" s="148">
        <f>VLOOKUP(B142,'Custo mao de obra Dnit'!A:AB,28,0)</f>
        <v>53.100624999999994</v>
      </c>
      <c r="F142" s="143">
        <f t="shared" si="16"/>
        <v>674.96794444444447</v>
      </c>
    </row>
    <row r="143" spans="1:6">
      <c r="A143" s="96"/>
      <c r="B143" s="239" t="s">
        <v>59</v>
      </c>
      <c r="C143" s="38" t="s">
        <v>46</v>
      </c>
      <c r="D143" s="251">
        <f>HLOOKUP(B143,'Estimativa de horas por produto'!$F$33:$P$85,29,0)</f>
        <v>9.7777777777777786</v>
      </c>
      <c r="E143" s="148">
        <f>VLOOKUP(B143,'Custo mao de obra Dnit'!A:AB,28,0)</f>
        <v>121.47482954545454</v>
      </c>
      <c r="F143" s="143">
        <f t="shared" si="16"/>
        <v>1187.7538888888889</v>
      </c>
    </row>
    <row r="144" spans="1:6">
      <c r="A144" s="96"/>
      <c r="B144" s="239" t="s">
        <v>60</v>
      </c>
      <c r="C144" s="38" t="s">
        <v>46</v>
      </c>
      <c r="D144" s="251">
        <f>HLOOKUP(B144,'Estimativa de horas por produto'!$F$33:$P$85,29,0)</f>
        <v>5.8666666666666663</v>
      </c>
      <c r="E144" s="148">
        <f>VLOOKUP(B144,'Custo mao de obra Dnit'!A:AB,28,0)</f>
        <v>45.856761363636366</v>
      </c>
      <c r="F144" s="143">
        <f t="shared" si="16"/>
        <v>269.02633333333335</v>
      </c>
    </row>
    <row r="145" spans="1:6">
      <c r="A145" s="96"/>
      <c r="B145" s="239" t="s">
        <v>61</v>
      </c>
      <c r="C145" s="38" t="s">
        <v>46</v>
      </c>
      <c r="D145" s="251">
        <f>HLOOKUP(B145,'Estimativa de horas por produto'!$F$33:$P$85,29,0)</f>
        <v>1.9555555555555553</v>
      </c>
      <c r="E145" s="148">
        <f>VLOOKUP(B145,'Custo mao de obra Dnit'!A:AB,28,0)</f>
        <v>95.24392045454546</v>
      </c>
      <c r="F145" s="143">
        <f t="shared" si="16"/>
        <v>186.25477777777778</v>
      </c>
    </row>
    <row r="146" spans="1:6">
      <c r="A146" s="96"/>
      <c r="B146" s="239" t="s">
        <v>62</v>
      </c>
      <c r="C146" s="38" t="s">
        <v>46</v>
      </c>
      <c r="D146" s="251">
        <f>HLOOKUP(B146,'Estimativa de horas por produto'!$F$33:$P$85,29,0)</f>
        <v>5.8666666666666663</v>
      </c>
      <c r="E146" s="148">
        <f>VLOOKUP(B146,'Custo mao de obra Dnit'!A:AB,28,0)</f>
        <v>95.230852272727276</v>
      </c>
      <c r="F146" s="143">
        <f t="shared" si="16"/>
        <v>558.6876666666667</v>
      </c>
    </row>
    <row r="147" spans="1:6">
      <c r="A147" s="96"/>
      <c r="B147" s="239" t="s">
        <v>63</v>
      </c>
      <c r="C147" s="38" t="s">
        <v>46</v>
      </c>
      <c r="D147" s="251">
        <f>HLOOKUP(B147,'Estimativa de horas por produto'!$F$33:$P$85,29,0)</f>
        <v>5.8666666666666663</v>
      </c>
      <c r="E147" s="148">
        <f>VLOOKUP(B147,'Custo mao de obra Dnit'!A:AB,28,0)</f>
        <v>107.9440909090909</v>
      </c>
      <c r="F147" s="143">
        <f t="shared" si="16"/>
        <v>633.27199999999993</v>
      </c>
    </row>
    <row r="148" spans="1:6">
      <c r="A148" s="96"/>
      <c r="B148" s="239" t="s">
        <v>64</v>
      </c>
      <c r="C148" s="38" t="s">
        <v>46</v>
      </c>
      <c r="D148" s="251">
        <f>HLOOKUP(B148,'Estimativa de horas por produto'!$F$33:$P$85,29,0)</f>
        <v>38.133333333333333</v>
      </c>
      <c r="E148" s="148">
        <f>VLOOKUP(B148,'Custo mao de obra Dnit'!A:AB,28,0)</f>
        <v>95.230852272727276</v>
      </c>
      <c r="F148" s="143">
        <f t="shared" si="16"/>
        <v>3631.4698333333336</v>
      </c>
    </row>
    <row r="149" spans="1:6">
      <c r="A149" s="96"/>
      <c r="B149" s="239" t="s">
        <v>65</v>
      </c>
      <c r="C149" s="38" t="s">
        <v>46</v>
      </c>
      <c r="D149" s="251">
        <f>HLOOKUP(B149,'Estimativa de horas por produto'!$F$33:$P$85,29,0)</f>
        <v>11.733333333333333</v>
      </c>
      <c r="E149" s="148">
        <f>VLOOKUP(B149,'Custo mao de obra Dnit'!A:AB,28,0)</f>
        <v>107.9440909090909</v>
      </c>
      <c r="F149" s="143">
        <f t="shared" si="16"/>
        <v>1266.5439999999999</v>
      </c>
    </row>
    <row r="150" spans="1:6">
      <c r="A150" s="96"/>
      <c r="B150" s="239"/>
      <c r="C150" s="38"/>
      <c r="D150" s="251"/>
      <c r="E150" s="148"/>
      <c r="F150" s="143"/>
    </row>
    <row r="151" spans="1:6">
      <c r="A151" s="242">
        <v>2</v>
      </c>
      <c r="B151" s="237" t="s">
        <v>201</v>
      </c>
      <c r="C151" s="245"/>
      <c r="D151" s="243"/>
      <c r="E151" s="45"/>
      <c r="F151" s="238">
        <f>SUM(F152:F154)</f>
        <v>4584.6972108918262</v>
      </c>
    </row>
    <row r="152" spans="1:6">
      <c r="A152" s="234"/>
      <c r="B152" s="239" t="s">
        <v>223</v>
      </c>
      <c r="C152" s="240" t="s">
        <v>19</v>
      </c>
      <c r="D152" s="244">
        <f>$F$138</f>
        <v>10522.600897158196</v>
      </c>
      <c r="E152" s="252">
        <f>'Custos diversos e BDI - DNIT'!$D$30/100</f>
        <v>0.11110000000000002</v>
      </c>
      <c r="F152" s="236">
        <f>D152*E152</f>
        <v>1169.0609596742759</v>
      </c>
    </row>
    <row r="153" spans="1:6">
      <c r="A153" s="234"/>
      <c r="B153" s="239" t="s">
        <v>224</v>
      </c>
      <c r="C153" s="240" t="s">
        <v>19</v>
      </c>
      <c r="D153" s="244">
        <f t="shared" ref="D153:D154" si="17">$F$138</f>
        <v>10522.600897158196</v>
      </c>
      <c r="E153" s="252">
        <f>'Custos diversos e BDI - DNIT'!$D$33/100</f>
        <v>0.12</v>
      </c>
      <c r="F153" s="236">
        <f t="shared" ref="F153:F154" si="18">D153*E153</f>
        <v>1262.7121076589835</v>
      </c>
    </row>
    <row r="154" spans="1:6">
      <c r="A154" s="234"/>
      <c r="B154" s="239" t="s">
        <v>225</v>
      </c>
      <c r="C154" s="240" t="s">
        <v>19</v>
      </c>
      <c r="D154" s="244">
        <f t="shared" si="17"/>
        <v>10522.600897158196</v>
      </c>
      <c r="E154" s="252">
        <f>'Custos diversos e BDI - DNIT'!$D$38/100</f>
        <v>0.2046</v>
      </c>
      <c r="F154" s="236">
        <f t="shared" si="18"/>
        <v>2152.9241435585668</v>
      </c>
    </row>
    <row r="155" spans="1:6">
      <c r="A155" s="234"/>
      <c r="B155" s="239"/>
      <c r="C155" s="49"/>
      <c r="D155" s="244"/>
      <c r="E155" s="246"/>
      <c r="F155" s="238"/>
    </row>
    <row r="156" spans="1:6">
      <c r="A156" s="102">
        <v>3</v>
      </c>
      <c r="B156" s="103" t="s">
        <v>10</v>
      </c>
      <c r="C156" s="104" t="s">
        <v>46</v>
      </c>
      <c r="D156" s="105">
        <f>SUM(D139:D149)</f>
        <v>127.1111111111111</v>
      </c>
      <c r="E156" s="150">
        <f>'Custo Gerencial'!$G$48</f>
        <v>39.25</v>
      </c>
      <c r="F156" s="106">
        <f>D156*E156</f>
        <v>4989.1111111111104</v>
      </c>
    </row>
    <row r="157" spans="1:6">
      <c r="A157" s="234"/>
      <c r="B157" s="239"/>
      <c r="C157" s="49"/>
      <c r="D157" s="244"/>
      <c r="E157" s="246"/>
      <c r="F157" s="236"/>
    </row>
    <row r="158" spans="1:6" ht="13.8" thickBot="1">
      <c r="A158" s="107"/>
      <c r="B158" s="247" t="s">
        <v>73</v>
      </c>
      <c r="C158" s="109" t="s">
        <v>21</v>
      </c>
      <c r="D158" s="110">
        <v>1</v>
      </c>
      <c r="E158" s="223">
        <f>F137</f>
        <v>20096.409219161131</v>
      </c>
      <c r="F158" s="112">
        <f>E158*D158</f>
        <v>20096.409219161131</v>
      </c>
    </row>
    <row r="160" spans="1:6" ht="13.8" thickBot="1"/>
    <row r="161" spans="1:6" s="294" customFormat="1" ht="29.25" customHeight="1">
      <c r="A161" s="293" t="str">
        <f>"Produto "&amp;L11</f>
        <v>Produto 11</v>
      </c>
      <c r="B161" s="340" t="str">
        <f>M11</f>
        <v>Adequação de estudos e documentos de viabilidade técnica, ambiental, econômica e jurídica, com justificativas das alterações da BR-158/155/MT/PA</v>
      </c>
      <c r="C161" s="340"/>
      <c r="D161" s="340"/>
      <c r="E161" s="340"/>
      <c r="F161" s="341"/>
    </row>
    <row r="162" spans="1:6">
      <c r="A162" s="91" t="s">
        <v>3</v>
      </c>
      <c r="B162" s="92" t="s">
        <v>5</v>
      </c>
      <c r="C162" s="92" t="s">
        <v>6</v>
      </c>
      <c r="D162" s="92" t="s">
        <v>7</v>
      </c>
      <c r="E162" s="92" t="s">
        <v>40</v>
      </c>
      <c r="F162" s="93" t="s">
        <v>41</v>
      </c>
    </row>
    <row r="163" spans="1:6">
      <c r="A163" s="297" t="str">
        <f>"valor mês "&amp;A161</f>
        <v>valor mês Produto 11</v>
      </c>
      <c r="B163" s="237" t="str">
        <f>B161</f>
        <v>Adequação de estudos e documentos de viabilidade técnica, ambiental, econômica e jurídica, com justificativas das alterações da BR-158/155/MT/PA</v>
      </c>
      <c r="C163" s="38"/>
      <c r="D163" s="243"/>
      <c r="E163" s="42"/>
      <c r="F163" s="238">
        <f>F164+F177+F182</f>
        <v>20096.409219161131</v>
      </c>
    </row>
    <row r="164" spans="1:6">
      <c r="A164" s="242">
        <v>1</v>
      </c>
      <c r="B164" s="237" t="s">
        <v>45</v>
      </c>
      <c r="C164" s="38"/>
      <c r="D164" s="243"/>
      <c r="E164" s="42"/>
      <c r="F164" s="238">
        <f>SUM(F165:F176)</f>
        <v>10522.600897158196</v>
      </c>
    </row>
    <row r="165" spans="1:6">
      <c r="A165" s="96"/>
      <c r="B165" s="239" t="s">
        <v>55</v>
      </c>
      <c r="C165" s="38" t="s">
        <v>46</v>
      </c>
      <c r="D165" s="251">
        <f>HLOOKUP(B165,'Estimativa de horas por produto'!$F$33:$P$85,30,0)</f>
        <v>17.600000000000001</v>
      </c>
      <c r="E165" s="148">
        <f>VLOOKUP(B165,'Custo mao de obra Dnit'!A:AB,28,0)</f>
        <v>49.84170454545454</v>
      </c>
      <c r="F165" s="143">
        <f t="shared" ref="F165:F175" si="19">D165*E165</f>
        <v>877.21399999999994</v>
      </c>
    </row>
    <row r="166" spans="1:6">
      <c r="A166" s="96"/>
      <c r="B166" s="239" t="s">
        <v>56</v>
      </c>
      <c r="C166" s="38" t="s">
        <v>46</v>
      </c>
      <c r="D166" s="251">
        <f>HLOOKUP(B166,'Estimativa de horas por produto'!$F$33:$P$85,30,0)</f>
        <v>8.8000000000000007</v>
      </c>
      <c r="E166" s="148">
        <f>VLOOKUP(B166,'Custo mao de obra Dnit'!A:AB,28,0)</f>
        <v>65.018465909090907</v>
      </c>
      <c r="F166" s="143">
        <f t="shared" si="19"/>
        <v>572.16250000000002</v>
      </c>
    </row>
    <row r="167" spans="1:6">
      <c r="A167" s="96"/>
      <c r="B167" s="239" t="s">
        <v>57</v>
      </c>
      <c r="C167" s="38" t="s">
        <v>46</v>
      </c>
      <c r="D167" s="251">
        <f>HLOOKUP(B167,'Estimativa de horas por produto'!$F$33:$P$85,30,0)</f>
        <v>8.8000000000000007</v>
      </c>
      <c r="E167" s="148">
        <f>VLOOKUP(B167,'Custo mao de obra Dnit'!A:AB,28,0)</f>
        <v>75.596358262926245</v>
      </c>
      <c r="F167" s="143">
        <f t="shared" si="19"/>
        <v>665.24795271375103</v>
      </c>
    </row>
    <row r="168" spans="1:6">
      <c r="A168" s="96"/>
      <c r="B168" s="239" t="s">
        <v>58</v>
      </c>
      <c r="C168" s="38" t="s">
        <v>46</v>
      </c>
      <c r="D168" s="251">
        <f>HLOOKUP(B168,'Estimativa de horas por produto'!$F$33:$P$85,30,0)</f>
        <v>12.711111111111112</v>
      </c>
      <c r="E168" s="148">
        <f>VLOOKUP(B168,'Custo mao de obra Dnit'!A:AB,28,0)</f>
        <v>53.100624999999994</v>
      </c>
      <c r="F168" s="143">
        <f t="shared" si="19"/>
        <v>674.96794444444447</v>
      </c>
    </row>
    <row r="169" spans="1:6">
      <c r="A169" s="96"/>
      <c r="B169" s="239" t="s">
        <v>59</v>
      </c>
      <c r="C169" s="38" t="s">
        <v>46</v>
      </c>
      <c r="D169" s="251">
        <f>HLOOKUP(B169,'Estimativa de horas por produto'!$F$33:$P$85,30,0)</f>
        <v>9.7777777777777786</v>
      </c>
      <c r="E169" s="148">
        <f>VLOOKUP(B169,'Custo mao de obra Dnit'!A:AB,28,0)</f>
        <v>121.47482954545454</v>
      </c>
      <c r="F169" s="143">
        <f t="shared" si="19"/>
        <v>1187.7538888888889</v>
      </c>
    </row>
    <row r="170" spans="1:6">
      <c r="A170" s="96"/>
      <c r="B170" s="239" t="s">
        <v>60</v>
      </c>
      <c r="C170" s="38" t="s">
        <v>46</v>
      </c>
      <c r="D170" s="251">
        <f>HLOOKUP(B170,'Estimativa de horas por produto'!$F$33:$P$85,30,0)</f>
        <v>5.8666666666666663</v>
      </c>
      <c r="E170" s="148">
        <f>VLOOKUP(B170,'Custo mao de obra Dnit'!A:AB,28,0)</f>
        <v>45.856761363636366</v>
      </c>
      <c r="F170" s="143">
        <f t="shared" si="19"/>
        <v>269.02633333333335</v>
      </c>
    </row>
    <row r="171" spans="1:6">
      <c r="A171" s="96"/>
      <c r="B171" s="239" t="s">
        <v>61</v>
      </c>
      <c r="C171" s="38" t="s">
        <v>46</v>
      </c>
      <c r="D171" s="251">
        <f>HLOOKUP(B171,'Estimativa de horas por produto'!$F$33:$P$85,30,0)</f>
        <v>1.9555555555555553</v>
      </c>
      <c r="E171" s="148">
        <f>VLOOKUP(B171,'Custo mao de obra Dnit'!A:AB,28,0)</f>
        <v>95.24392045454546</v>
      </c>
      <c r="F171" s="143">
        <f t="shared" si="19"/>
        <v>186.25477777777778</v>
      </c>
    </row>
    <row r="172" spans="1:6">
      <c r="A172" s="96"/>
      <c r="B172" s="239" t="s">
        <v>62</v>
      </c>
      <c r="C172" s="38" t="s">
        <v>46</v>
      </c>
      <c r="D172" s="251">
        <f>HLOOKUP(B172,'Estimativa de horas por produto'!$F$33:$P$85,30,0)</f>
        <v>5.8666666666666663</v>
      </c>
      <c r="E172" s="148">
        <f>VLOOKUP(B172,'Custo mao de obra Dnit'!A:AB,28,0)</f>
        <v>95.230852272727276</v>
      </c>
      <c r="F172" s="143">
        <f t="shared" si="19"/>
        <v>558.6876666666667</v>
      </c>
    </row>
    <row r="173" spans="1:6">
      <c r="A173" s="96"/>
      <c r="B173" s="239" t="s">
        <v>63</v>
      </c>
      <c r="C173" s="38" t="s">
        <v>46</v>
      </c>
      <c r="D173" s="251">
        <f>HLOOKUP(B173,'Estimativa de horas por produto'!$F$33:$P$85,30,0)</f>
        <v>5.8666666666666663</v>
      </c>
      <c r="E173" s="148">
        <f>VLOOKUP(B173,'Custo mao de obra Dnit'!A:AB,28,0)</f>
        <v>107.9440909090909</v>
      </c>
      <c r="F173" s="143">
        <f t="shared" si="19"/>
        <v>633.27199999999993</v>
      </c>
    </row>
    <row r="174" spans="1:6">
      <c r="A174" s="96"/>
      <c r="B174" s="239" t="s">
        <v>64</v>
      </c>
      <c r="C174" s="38" t="s">
        <v>46</v>
      </c>
      <c r="D174" s="251">
        <f>HLOOKUP(B174,'Estimativa de horas por produto'!$F$33:$P$85,30,0)</f>
        <v>38.133333333333333</v>
      </c>
      <c r="E174" s="148">
        <f>VLOOKUP(B174,'Custo mao de obra Dnit'!A:AB,28,0)</f>
        <v>95.230852272727276</v>
      </c>
      <c r="F174" s="143">
        <f t="shared" si="19"/>
        <v>3631.4698333333336</v>
      </c>
    </row>
    <row r="175" spans="1:6">
      <c r="A175" s="96"/>
      <c r="B175" s="239" t="s">
        <v>65</v>
      </c>
      <c r="C175" s="38" t="s">
        <v>46</v>
      </c>
      <c r="D175" s="251">
        <f>HLOOKUP(B175,'Estimativa de horas por produto'!$F$33:$P$85,30,0)</f>
        <v>11.733333333333333</v>
      </c>
      <c r="E175" s="148">
        <f>VLOOKUP(B175,'Custo mao de obra Dnit'!A:AB,28,0)</f>
        <v>107.9440909090909</v>
      </c>
      <c r="F175" s="143">
        <f t="shared" si="19"/>
        <v>1266.5439999999999</v>
      </c>
    </row>
    <row r="176" spans="1:6">
      <c r="A176" s="96"/>
      <c r="B176" s="239"/>
      <c r="C176" s="38"/>
      <c r="D176" s="251"/>
      <c r="E176" s="148"/>
      <c r="F176" s="143"/>
    </row>
    <row r="177" spans="1:6">
      <c r="A177" s="242">
        <v>2</v>
      </c>
      <c r="B177" s="237" t="s">
        <v>201</v>
      </c>
      <c r="C177" s="245"/>
      <c r="D177" s="243"/>
      <c r="E177" s="45"/>
      <c r="F177" s="238">
        <f>SUM(F178:F180)</f>
        <v>4584.6972108918262</v>
      </c>
    </row>
    <row r="178" spans="1:6">
      <c r="A178" s="234"/>
      <c r="B178" s="239" t="s">
        <v>223</v>
      </c>
      <c r="C178" s="240" t="s">
        <v>19</v>
      </c>
      <c r="D178" s="244">
        <f>$F$164</f>
        <v>10522.600897158196</v>
      </c>
      <c r="E178" s="252">
        <f>'Custos diversos e BDI - DNIT'!$D$30/100</f>
        <v>0.11110000000000002</v>
      </c>
      <c r="F178" s="236">
        <f>D178*E178</f>
        <v>1169.0609596742759</v>
      </c>
    </row>
    <row r="179" spans="1:6">
      <c r="A179" s="234"/>
      <c r="B179" s="239" t="s">
        <v>224</v>
      </c>
      <c r="C179" s="240" t="s">
        <v>19</v>
      </c>
      <c r="D179" s="244">
        <f t="shared" ref="D179:D180" si="20">$F$164</f>
        <v>10522.600897158196</v>
      </c>
      <c r="E179" s="252">
        <f>'Custos diversos e BDI - DNIT'!$D$33/100</f>
        <v>0.12</v>
      </c>
      <c r="F179" s="236">
        <f t="shared" ref="F179:F180" si="21">D179*E179</f>
        <v>1262.7121076589835</v>
      </c>
    </row>
    <row r="180" spans="1:6">
      <c r="A180" s="234"/>
      <c r="B180" s="239" t="s">
        <v>225</v>
      </c>
      <c r="C180" s="240" t="s">
        <v>19</v>
      </c>
      <c r="D180" s="244">
        <f t="shared" si="20"/>
        <v>10522.600897158196</v>
      </c>
      <c r="E180" s="252">
        <f>'Custos diversos e BDI - DNIT'!$D$38/100</f>
        <v>0.2046</v>
      </c>
      <c r="F180" s="236">
        <f t="shared" si="21"/>
        <v>2152.9241435585668</v>
      </c>
    </row>
    <row r="181" spans="1:6">
      <c r="A181" s="234"/>
      <c r="B181" s="239"/>
      <c r="C181" s="49"/>
      <c r="D181" s="244"/>
      <c r="E181" s="246"/>
      <c r="F181" s="238"/>
    </row>
    <row r="182" spans="1:6">
      <c r="A182" s="102">
        <v>3</v>
      </c>
      <c r="B182" s="103" t="s">
        <v>10</v>
      </c>
      <c r="C182" s="104" t="s">
        <v>46</v>
      </c>
      <c r="D182" s="105">
        <f>SUM(D165:D175)</f>
        <v>127.1111111111111</v>
      </c>
      <c r="E182" s="150">
        <f>'Custo Gerencial'!$G$48</f>
        <v>39.25</v>
      </c>
      <c r="F182" s="106">
        <f>D182*E182</f>
        <v>4989.1111111111104</v>
      </c>
    </row>
    <row r="183" spans="1:6">
      <c r="A183" s="234"/>
      <c r="B183" s="239"/>
      <c r="C183" s="49"/>
      <c r="D183" s="244"/>
      <c r="E183" s="246"/>
      <c r="F183" s="236"/>
    </row>
    <row r="184" spans="1:6" ht="13.8" thickBot="1">
      <c r="A184" s="107"/>
      <c r="B184" s="247" t="s">
        <v>73</v>
      </c>
      <c r="C184" s="109" t="s">
        <v>21</v>
      </c>
      <c r="D184" s="110">
        <v>1</v>
      </c>
      <c r="E184" s="223">
        <f>F163</f>
        <v>20096.409219161131</v>
      </c>
      <c r="F184" s="112">
        <f>E184*D184</f>
        <v>20096.409219161131</v>
      </c>
    </row>
    <row r="186" spans="1:6" ht="13.8" thickBot="1"/>
    <row r="187" spans="1:6" s="294" customFormat="1" ht="29.25" customHeight="1">
      <c r="A187" s="293" t="str">
        <f>"Produto "&amp;L12</f>
        <v>Produto 12</v>
      </c>
      <c r="B187" s="340" t="str">
        <f>M12</f>
        <v>Adequação de estudos e documentos de viabilidade técnica, ambiental, econômica e jurídica, com justificativas das alterações da BR-135/316/MA</v>
      </c>
      <c r="C187" s="340"/>
      <c r="D187" s="340"/>
      <c r="E187" s="340"/>
      <c r="F187" s="341"/>
    </row>
    <row r="188" spans="1:6">
      <c r="A188" s="91" t="s">
        <v>3</v>
      </c>
      <c r="B188" s="92" t="s">
        <v>5</v>
      </c>
      <c r="C188" s="92" t="s">
        <v>6</v>
      </c>
      <c r="D188" s="92" t="s">
        <v>7</v>
      </c>
      <c r="E188" s="92" t="s">
        <v>40</v>
      </c>
      <c r="F188" s="93" t="s">
        <v>41</v>
      </c>
    </row>
    <row r="189" spans="1:6">
      <c r="A189" s="297" t="str">
        <f>"valor mês "&amp;A187</f>
        <v>valor mês Produto 12</v>
      </c>
      <c r="B189" s="237" t="str">
        <f>B187</f>
        <v>Adequação de estudos e documentos de viabilidade técnica, ambiental, econômica e jurídica, com justificativas das alterações da BR-135/316/MA</v>
      </c>
      <c r="C189" s="38"/>
      <c r="D189" s="243"/>
      <c r="E189" s="42"/>
      <c r="F189" s="238">
        <f>F190+F203+F208</f>
        <v>20096.409219161131</v>
      </c>
    </row>
    <row r="190" spans="1:6">
      <c r="A190" s="242">
        <v>1</v>
      </c>
      <c r="B190" s="237" t="s">
        <v>45</v>
      </c>
      <c r="C190" s="38"/>
      <c r="D190" s="243"/>
      <c r="E190" s="42"/>
      <c r="F190" s="238">
        <f>SUM(F191:F202)</f>
        <v>10522.600897158196</v>
      </c>
    </row>
    <row r="191" spans="1:6">
      <c r="A191" s="96"/>
      <c r="B191" s="239" t="s">
        <v>55</v>
      </c>
      <c r="C191" s="38" t="s">
        <v>46</v>
      </c>
      <c r="D191" s="251">
        <f>HLOOKUP(B191,'Estimativa de horas por produto'!$F$33:$P$85,31,0)</f>
        <v>17.600000000000001</v>
      </c>
      <c r="E191" s="148">
        <f>VLOOKUP(B191,'Custo mao de obra Dnit'!A:AB,28,0)</f>
        <v>49.84170454545454</v>
      </c>
      <c r="F191" s="143">
        <f t="shared" ref="F191:F201" si="22">D191*E191</f>
        <v>877.21399999999994</v>
      </c>
    </row>
    <row r="192" spans="1:6">
      <c r="A192" s="96"/>
      <c r="B192" s="239" t="s">
        <v>56</v>
      </c>
      <c r="C192" s="38" t="s">
        <v>46</v>
      </c>
      <c r="D192" s="251">
        <f>HLOOKUP(B192,'Estimativa de horas por produto'!$F$33:$P$85,31,0)</f>
        <v>8.8000000000000007</v>
      </c>
      <c r="E192" s="148">
        <f>VLOOKUP(B192,'Custo mao de obra Dnit'!A:AB,28,0)</f>
        <v>65.018465909090907</v>
      </c>
      <c r="F192" s="143">
        <f t="shared" si="22"/>
        <v>572.16250000000002</v>
      </c>
    </row>
    <row r="193" spans="1:6">
      <c r="A193" s="96"/>
      <c r="B193" s="239" t="s">
        <v>57</v>
      </c>
      <c r="C193" s="38" t="s">
        <v>46</v>
      </c>
      <c r="D193" s="251">
        <f>HLOOKUP(B193,'Estimativa de horas por produto'!$F$33:$P$85,31,0)</f>
        <v>8.8000000000000007</v>
      </c>
      <c r="E193" s="148">
        <f>VLOOKUP(B193,'Custo mao de obra Dnit'!A:AB,28,0)</f>
        <v>75.596358262926245</v>
      </c>
      <c r="F193" s="143">
        <f t="shared" si="22"/>
        <v>665.24795271375103</v>
      </c>
    </row>
    <row r="194" spans="1:6">
      <c r="A194" s="96"/>
      <c r="B194" s="239" t="s">
        <v>58</v>
      </c>
      <c r="C194" s="38" t="s">
        <v>46</v>
      </c>
      <c r="D194" s="251">
        <f>HLOOKUP(B194,'Estimativa de horas por produto'!$F$33:$P$85,31,0)</f>
        <v>12.711111111111112</v>
      </c>
      <c r="E194" s="148">
        <f>VLOOKUP(B194,'Custo mao de obra Dnit'!A:AB,28,0)</f>
        <v>53.100624999999994</v>
      </c>
      <c r="F194" s="143">
        <f t="shared" si="22"/>
        <v>674.96794444444447</v>
      </c>
    </row>
    <row r="195" spans="1:6">
      <c r="A195" s="96"/>
      <c r="B195" s="239" t="s">
        <v>59</v>
      </c>
      <c r="C195" s="38" t="s">
        <v>46</v>
      </c>
      <c r="D195" s="251">
        <f>HLOOKUP(B195,'Estimativa de horas por produto'!$F$33:$P$85,31,0)</f>
        <v>9.7777777777777786</v>
      </c>
      <c r="E195" s="148">
        <f>VLOOKUP(B195,'Custo mao de obra Dnit'!A:AB,28,0)</f>
        <v>121.47482954545454</v>
      </c>
      <c r="F195" s="143">
        <f t="shared" si="22"/>
        <v>1187.7538888888889</v>
      </c>
    </row>
    <row r="196" spans="1:6">
      <c r="A196" s="96"/>
      <c r="B196" s="239" t="s">
        <v>60</v>
      </c>
      <c r="C196" s="38" t="s">
        <v>46</v>
      </c>
      <c r="D196" s="251">
        <f>HLOOKUP(B196,'Estimativa de horas por produto'!$F$33:$P$85,31,0)</f>
        <v>5.8666666666666663</v>
      </c>
      <c r="E196" s="148">
        <f>VLOOKUP(B196,'Custo mao de obra Dnit'!A:AB,28,0)</f>
        <v>45.856761363636366</v>
      </c>
      <c r="F196" s="143">
        <f t="shared" si="22"/>
        <v>269.02633333333335</v>
      </c>
    </row>
    <row r="197" spans="1:6">
      <c r="A197" s="96"/>
      <c r="B197" s="239" t="s">
        <v>61</v>
      </c>
      <c r="C197" s="38" t="s">
        <v>46</v>
      </c>
      <c r="D197" s="251">
        <f>HLOOKUP(B197,'Estimativa de horas por produto'!$F$33:$P$85,31,0)</f>
        <v>1.9555555555555553</v>
      </c>
      <c r="E197" s="148">
        <f>VLOOKUP(B197,'Custo mao de obra Dnit'!A:AB,28,0)</f>
        <v>95.24392045454546</v>
      </c>
      <c r="F197" s="143">
        <f t="shared" si="22"/>
        <v>186.25477777777778</v>
      </c>
    </row>
    <row r="198" spans="1:6">
      <c r="A198" s="96"/>
      <c r="B198" s="239" t="s">
        <v>62</v>
      </c>
      <c r="C198" s="38" t="s">
        <v>46</v>
      </c>
      <c r="D198" s="251">
        <f>HLOOKUP(B198,'Estimativa de horas por produto'!$F$33:$P$85,31,0)</f>
        <v>5.8666666666666663</v>
      </c>
      <c r="E198" s="148">
        <f>VLOOKUP(B198,'Custo mao de obra Dnit'!A:AB,28,0)</f>
        <v>95.230852272727276</v>
      </c>
      <c r="F198" s="143">
        <f t="shared" si="22"/>
        <v>558.6876666666667</v>
      </c>
    </row>
    <row r="199" spans="1:6">
      <c r="A199" s="96"/>
      <c r="B199" s="239" t="s">
        <v>63</v>
      </c>
      <c r="C199" s="38" t="s">
        <v>46</v>
      </c>
      <c r="D199" s="251">
        <f>HLOOKUP(B199,'Estimativa de horas por produto'!$F$33:$P$85,31,0)</f>
        <v>5.8666666666666663</v>
      </c>
      <c r="E199" s="148">
        <f>VLOOKUP(B199,'Custo mao de obra Dnit'!A:AB,28,0)</f>
        <v>107.9440909090909</v>
      </c>
      <c r="F199" s="143">
        <f t="shared" si="22"/>
        <v>633.27199999999993</v>
      </c>
    </row>
    <row r="200" spans="1:6">
      <c r="A200" s="96"/>
      <c r="B200" s="239" t="s">
        <v>64</v>
      </c>
      <c r="C200" s="38" t="s">
        <v>46</v>
      </c>
      <c r="D200" s="251">
        <f>HLOOKUP(B200,'Estimativa de horas por produto'!$F$33:$P$85,31,0)</f>
        <v>38.133333333333333</v>
      </c>
      <c r="E200" s="148">
        <f>VLOOKUP(B200,'Custo mao de obra Dnit'!A:AB,28,0)</f>
        <v>95.230852272727276</v>
      </c>
      <c r="F200" s="143">
        <f t="shared" si="22"/>
        <v>3631.4698333333336</v>
      </c>
    </row>
    <row r="201" spans="1:6">
      <c r="A201" s="96"/>
      <c r="B201" s="239" t="s">
        <v>65</v>
      </c>
      <c r="C201" s="38" t="s">
        <v>46</v>
      </c>
      <c r="D201" s="251">
        <f>HLOOKUP(B201,'Estimativa de horas por produto'!$F$33:$P$85,31,0)</f>
        <v>11.733333333333333</v>
      </c>
      <c r="E201" s="148">
        <f>VLOOKUP(B201,'Custo mao de obra Dnit'!A:AB,28,0)</f>
        <v>107.9440909090909</v>
      </c>
      <c r="F201" s="143">
        <f t="shared" si="22"/>
        <v>1266.5439999999999</v>
      </c>
    </row>
    <row r="202" spans="1:6">
      <c r="A202" s="96"/>
      <c r="B202" s="239"/>
      <c r="C202" s="38"/>
      <c r="D202" s="251"/>
      <c r="E202" s="148"/>
      <c r="F202" s="143"/>
    </row>
    <row r="203" spans="1:6">
      <c r="A203" s="242">
        <v>2</v>
      </c>
      <c r="B203" s="237" t="s">
        <v>201</v>
      </c>
      <c r="C203" s="245"/>
      <c r="D203" s="243"/>
      <c r="E203" s="45"/>
      <c r="F203" s="238">
        <f>SUM(F204:F206)</f>
        <v>4584.6972108918262</v>
      </c>
    </row>
    <row r="204" spans="1:6">
      <c r="A204" s="234"/>
      <c r="B204" s="239" t="s">
        <v>223</v>
      </c>
      <c r="C204" s="240" t="s">
        <v>19</v>
      </c>
      <c r="D204" s="244">
        <f>$F$190</f>
        <v>10522.600897158196</v>
      </c>
      <c r="E204" s="252">
        <f>'Custos diversos e BDI - DNIT'!$D$30/100</f>
        <v>0.11110000000000002</v>
      </c>
      <c r="F204" s="236">
        <f>D204*E204</f>
        <v>1169.0609596742759</v>
      </c>
    </row>
    <row r="205" spans="1:6">
      <c r="A205" s="234"/>
      <c r="B205" s="239" t="s">
        <v>224</v>
      </c>
      <c r="C205" s="240" t="s">
        <v>19</v>
      </c>
      <c r="D205" s="244">
        <f t="shared" ref="D205:D206" si="23">$F$190</f>
        <v>10522.600897158196</v>
      </c>
      <c r="E205" s="252">
        <f>'Custos diversos e BDI - DNIT'!$D$33/100</f>
        <v>0.12</v>
      </c>
      <c r="F205" s="236">
        <f t="shared" ref="F205:F206" si="24">D205*E205</f>
        <v>1262.7121076589835</v>
      </c>
    </row>
    <row r="206" spans="1:6">
      <c r="A206" s="234"/>
      <c r="B206" s="239" t="s">
        <v>225</v>
      </c>
      <c r="C206" s="240" t="s">
        <v>19</v>
      </c>
      <c r="D206" s="244">
        <f t="shared" si="23"/>
        <v>10522.600897158196</v>
      </c>
      <c r="E206" s="252">
        <f>'Custos diversos e BDI - DNIT'!$D$38/100</f>
        <v>0.2046</v>
      </c>
      <c r="F206" s="236">
        <f t="shared" si="24"/>
        <v>2152.9241435585668</v>
      </c>
    </row>
    <row r="207" spans="1:6">
      <c r="A207" s="234"/>
      <c r="B207" s="239"/>
      <c r="C207" s="49"/>
      <c r="D207" s="244"/>
      <c r="E207" s="246"/>
      <c r="F207" s="238"/>
    </row>
    <row r="208" spans="1:6">
      <c r="A208" s="102">
        <v>3</v>
      </c>
      <c r="B208" s="103" t="s">
        <v>10</v>
      </c>
      <c r="C208" s="104" t="s">
        <v>46</v>
      </c>
      <c r="D208" s="105">
        <f>SUM(D191:D201)</f>
        <v>127.1111111111111</v>
      </c>
      <c r="E208" s="150">
        <f>'Custo Gerencial'!$G$48</f>
        <v>39.25</v>
      </c>
      <c r="F208" s="106">
        <f>D208*E208</f>
        <v>4989.1111111111104</v>
      </c>
    </row>
    <row r="209" spans="1:6">
      <c r="A209" s="234"/>
      <c r="B209" s="239"/>
      <c r="C209" s="49"/>
      <c r="D209" s="244"/>
      <c r="E209" s="246"/>
      <c r="F209" s="236"/>
    </row>
    <row r="210" spans="1:6" ht="13.8" thickBot="1">
      <c r="A210" s="107"/>
      <c r="B210" s="247" t="s">
        <v>73</v>
      </c>
      <c r="C210" s="109" t="s">
        <v>21</v>
      </c>
      <c r="D210" s="110">
        <v>1</v>
      </c>
      <c r="E210" s="223">
        <f>F189</f>
        <v>20096.409219161131</v>
      </c>
      <c r="F210" s="112">
        <f>E210*D210</f>
        <v>20096.409219161131</v>
      </c>
    </row>
    <row r="212" spans="1:6" ht="13.8" thickBot="1"/>
    <row r="213" spans="1:6" s="294" customFormat="1" ht="29.25" customHeight="1">
      <c r="A213" s="293" t="str">
        <f>"Produto "&amp;L13</f>
        <v>Produto 13</v>
      </c>
      <c r="B213" s="340" t="str">
        <f>M13</f>
        <v>Adequação de estudos e documentos de viabilidade técnica, ambiental, econômica e jurídica, com justificativas das alterações da Prorrogação Antecipada FCA</v>
      </c>
      <c r="C213" s="340"/>
      <c r="D213" s="340"/>
      <c r="E213" s="340"/>
      <c r="F213" s="341"/>
    </row>
    <row r="214" spans="1:6">
      <c r="A214" s="91" t="s">
        <v>3</v>
      </c>
      <c r="B214" s="92" t="s">
        <v>5</v>
      </c>
      <c r="C214" s="92" t="s">
        <v>6</v>
      </c>
      <c r="D214" s="92" t="s">
        <v>7</v>
      </c>
      <c r="E214" s="92" t="s">
        <v>40</v>
      </c>
      <c r="F214" s="93" t="s">
        <v>41</v>
      </c>
    </row>
    <row r="215" spans="1:6">
      <c r="A215" s="297" t="str">
        <f>"valor mês "&amp;A213</f>
        <v>valor mês Produto 13</v>
      </c>
      <c r="B215" s="237" t="str">
        <f>B213</f>
        <v>Adequação de estudos e documentos de viabilidade técnica, ambiental, econômica e jurídica, com justificativas das alterações da Prorrogação Antecipada FCA</v>
      </c>
      <c r="C215" s="38"/>
      <c r="D215" s="243"/>
      <c r="E215" s="42"/>
      <c r="F215" s="238">
        <f>F216+F229+F234</f>
        <v>20096.409219161131</v>
      </c>
    </row>
    <row r="216" spans="1:6">
      <c r="A216" s="242">
        <v>1</v>
      </c>
      <c r="B216" s="237" t="s">
        <v>45</v>
      </c>
      <c r="C216" s="38"/>
      <c r="D216" s="243"/>
      <c r="E216" s="42"/>
      <c r="F216" s="238">
        <f>SUM(F217:F228)</f>
        <v>10522.600897158196</v>
      </c>
    </row>
    <row r="217" spans="1:6">
      <c r="A217" s="96"/>
      <c r="B217" s="239" t="s">
        <v>55</v>
      </c>
      <c r="C217" s="38" t="s">
        <v>46</v>
      </c>
      <c r="D217" s="251">
        <f>HLOOKUP(B217,'Estimativa de horas por produto'!$F$33:$P$85,32,0)</f>
        <v>17.600000000000001</v>
      </c>
      <c r="E217" s="148">
        <f>VLOOKUP(B217,'Custo mao de obra Dnit'!A:AB,28,0)</f>
        <v>49.84170454545454</v>
      </c>
      <c r="F217" s="143">
        <f t="shared" ref="F217:F227" si="25">D217*E217</f>
        <v>877.21399999999994</v>
      </c>
    </row>
    <row r="218" spans="1:6">
      <c r="A218" s="96"/>
      <c r="B218" s="239" t="s">
        <v>56</v>
      </c>
      <c r="C218" s="38" t="s">
        <v>46</v>
      </c>
      <c r="D218" s="251">
        <f>HLOOKUP(B218,'Estimativa de horas por produto'!$F$33:$P$85,32,0)</f>
        <v>8.8000000000000007</v>
      </c>
      <c r="E218" s="148">
        <f>VLOOKUP(B218,'Custo mao de obra Dnit'!A:AB,28,0)</f>
        <v>65.018465909090907</v>
      </c>
      <c r="F218" s="143">
        <f t="shared" si="25"/>
        <v>572.16250000000002</v>
      </c>
    </row>
    <row r="219" spans="1:6">
      <c r="A219" s="96"/>
      <c r="B219" s="239" t="s">
        <v>57</v>
      </c>
      <c r="C219" s="38" t="s">
        <v>46</v>
      </c>
      <c r="D219" s="251">
        <f>HLOOKUP(B219,'Estimativa de horas por produto'!$F$33:$P$85,32,0)</f>
        <v>8.8000000000000007</v>
      </c>
      <c r="E219" s="148">
        <f>VLOOKUP(B219,'Custo mao de obra Dnit'!A:AB,28,0)</f>
        <v>75.596358262926245</v>
      </c>
      <c r="F219" s="143">
        <f t="shared" si="25"/>
        <v>665.24795271375103</v>
      </c>
    </row>
    <row r="220" spans="1:6">
      <c r="A220" s="96"/>
      <c r="B220" s="239" t="s">
        <v>58</v>
      </c>
      <c r="C220" s="38" t="s">
        <v>46</v>
      </c>
      <c r="D220" s="251">
        <f>HLOOKUP(B220,'Estimativa de horas por produto'!$F$33:$P$85,32,0)</f>
        <v>12.711111111111112</v>
      </c>
      <c r="E220" s="148">
        <f>VLOOKUP(B220,'Custo mao de obra Dnit'!A:AB,28,0)</f>
        <v>53.100624999999994</v>
      </c>
      <c r="F220" s="143">
        <f t="shared" si="25"/>
        <v>674.96794444444447</v>
      </c>
    </row>
    <row r="221" spans="1:6">
      <c r="A221" s="96"/>
      <c r="B221" s="239" t="s">
        <v>59</v>
      </c>
      <c r="C221" s="38" t="s">
        <v>46</v>
      </c>
      <c r="D221" s="251">
        <f>HLOOKUP(B221,'Estimativa de horas por produto'!$F$33:$P$85,32,0)</f>
        <v>9.7777777777777786</v>
      </c>
      <c r="E221" s="148">
        <f>VLOOKUP(B221,'Custo mao de obra Dnit'!A:AB,28,0)</f>
        <v>121.47482954545454</v>
      </c>
      <c r="F221" s="143">
        <f t="shared" si="25"/>
        <v>1187.7538888888889</v>
      </c>
    </row>
    <row r="222" spans="1:6">
      <c r="A222" s="96"/>
      <c r="B222" s="239" t="s">
        <v>60</v>
      </c>
      <c r="C222" s="38" t="s">
        <v>46</v>
      </c>
      <c r="D222" s="251">
        <f>HLOOKUP(B222,'Estimativa de horas por produto'!$F$33:$P$85,32,0)</f>
        <v>5.8666666666666663</v>
      </c>
      <c r="E222" s="148">
        <f>VLOOKUP(B222,'Custo mao de obra Dnit'!A:AB,28,0)</f>
        <v>45.856761363636366</v>
      </c>
      <c r="F222" s="143">
        <f t="shared" si="25"/>
        <v>269.02633333333335</v>
      </c>
    </row>
    <row r="223" spans="1:6">
      <c r="A223" s="96"/>
      <c r="B223" s="239" t="s">
        <v>61</v>
      </c>
      <c r="C223" s="38" t="s">
        <v>46</v>
      </c>
      <c r="D223" s="251">
        <f>HLOOKUP(B223,'Estimativa de horas por produto'!$F$33:$P$85,32,0)</f>
        <v>1.9555555555555553</v>
      </c>
      <c r="E223" s="148">
        <f>VLOOKUP(B223,'Custo mao de obra Dnit'!A:AB,28,0)</f>
        <v>95.24392045454546</v>
      </c>
      <c r="F223" s="143">
        <f t="shared" si="25"/>
        <v>186.25477777777778</v>
      </c>
    </row>
    <row r="224" spans="1:6">
      <c r="A224" s="96"/>
      <c r="B224" s="239" t="s">
        <v>62</v>
      </c>
      <c r="C224" s="38" t="s">
        <v>46</v>
      </c>
      <c r="D224" s="251">
        <f>HLOOKUP(B224,'Estimativa de horas por produto'!$F$33:$P$85,32,0)</f>
        <v>5.8666666666666663</v>
      </c>
      <c r="E224" s="148">
        <f>VLOOKUP(B224,'Custo mao de obra Dnit'!A:AB,28,0)</f>
        <v>95.230852272727276</v>
      </c>
      <c r="F224" s="143">
        <f t="shared" si="25"/>
        <v>558.6876666666667</v>
      </c>
    </row>
    <row r="225" spans="1:6">
      <c r="A225" s="96"/>
      <c r="B225" s="239" t="s">
        <v>63</v>
      </c>
      <c r="C225" s="38" t="s">
        <v>46</v>
      </c>
      <c r="D225" s="251">
        <f>HLOOKUP(B225,'Estimativa de horas por produto'!$F$33:$P$85,32,0)</f>
        <v>5.8666666666666663</v>
      </c>
      <c r="E225" s="148">
        <f>VLOOKUP(B225,'Custo mao de obra Dnit'!A:AB,28,0)</f>
        <v>107.9440909090909</v>
      </c>
      <c r="F225" s="143">
        <f t="shared" si="25"/>
        <v>633.27199999999993</v>
      </c>
    </row>
    <row r="226" spans="1:6">
      <c r="A226" s="96"/>
      <c r="B226" s="239" t="s">
        <v>64</v>
      </c>
      <c r="C226" s="38" t="s">
        <v>46</v>
      </c>
      <c r="D226" s="251">
        <f>HLOOKUP(B226,'Estimativa de horas por produto'!$F$33:$P$85,32,0)</f>
        <v>38.133333333333333</v>
      </c>
      <c r="E226" s="148">
        <f>VLOOKUP(B226,'Custo mao de obra Dnit'!A:AB,28,0)</f>
        <v>95.230852272727276</v>
      </c>
      <c r="F226" s="143">
        <f t="shared" si="25"/>
        <v>3631.4698333333336</v>
      </c>
    </row>
    <row r="227" spans="1:6">
      <c r="A227" s="96"/>
      <c r="B227" s="239" t="s">
        <v>65</v>
      </c>
      <c r="C227" s="38" t="s">
        <v>46</v>
      </c>
      <c r="D227" s="251">
        <f>HLOOKUP(B227,'Estimativa de horas por produto'!$F$33:$P$85,32,0)</f>
        <v>11.733333333333333</v>
      </c>
      <c r="E227" s="148">
        <f>VLOOKUP(B227,'Custo mao de obra Dnit'!A:AB,28,0)</f>
        <v>107.9440909090909</v>
      </c>
      <c r="F227" s="143">
        <f t="shared" si="25"/>
        <v>1266.5439999999999</v>
      </c>
    </row>
    <row r="228" spans="1:6">
      <c r="A228" s="96"/>
      <c r="B228" s="239"/>
      <c r="C228" s="38"/>
      <c r="D228" s="251"/>
      <c r="E228" s="148"/>
      <c r="F228" s="143"/>
    </row>
    <row r="229" spans="1:6">
      <c r="A229" s="242">
        <v>2</v>
      </c>
      <c r="B229" s="237" t="s">
        <v>201</v>
      </c>
      <c r="C229" s="245"/>
      <c r="D229" s="243"/>
      <c r="E229" s="45"/>
      <c r="F229" s="238">
        <f>SUM(F230:F232)</f>
        <v>4584.6972108918262</v>
      </c>
    </row>
    <row r="230" spans="1:6">
      <c r="A230" s="234"/>
      <c r="B230" s="239" t="s">
        <v>223</v>
      </c>
      <c r="C230" s="240" t="s">
        <v>19</v>
      </c>
      <c r="D230" s="244">
        <f>$F$216</f>
        <v>10522.600897158196</v>
      </c>
      <c r="E230" s="252">
        <f>'Custos diversos e BDI - DNIT'!$D$30/100</f>
        <v>0.11110000000000002</v>
      </c>
      <c r="F230" s="236">
        <f>D230*E230</f>
        <v>1169.0609596742759</v>
      </c>
    </row>
    <row r="231" spans="1:6">
      <c r="A231" s="234"/>
      <c r="B231" s="239" t="s">
        <v>224</v>
      </c>
      <c r="C231" s="240" t="s">
        <v>19</v>
      </c>
      <c r="D231" s="244">
        <f t="shared" ref="D231:D232" si="26">$F$216</f>
        <v>10522.600897158196</v>
      </c>
      <c r="E231" s="252">
        <f>'Custos diversos e BDI - DNIT'!$D$33/100</f>
        <v>0.12</v>
      </c>
      <c r="F231" s="236">
        <f t="shared" ref="F231:F232" si="27">D231*E231</f>
        <v>1262.7121076589835</v>
      </c>
    </row>
    <row r="232" spans="1:6">
      <c r="A232" s="234"/>
      <c r="B232" s="239" t="s">
        <v>225</v>
      </c>
      <c r="C232" s="240" t="s">
        <v>19</v>
      </c>
      <c r="D232" s="244">
        <f t="shared" si="26"/>
        <v>10522.600897158196</v>
      </c>
      <c r="E232" s="252">
        <f>'Custos diversos e BDI - DNIT'!$D$38/100</f>
        <v>0.2046</v>
      </c>
      <c r="F232" s="236">
        <f t="shared" si="27"/>
        <v>2152.9241435585668</v>
      </c>
    </row>
    <row r="233" spans="1:6">
      <c r="A233" s="234"/>
      <c r="B233" s="239"/>
      <c r="C233" s="49"/>
      <c r="D233" s="244"/>
      <c r="E233" s="246"/>
      <c r="F233" s="238"/>
    </row>
    <row r="234" spans="1:6">
      <c r="A234" s="102">
        <v>3</v>
      </c>
      <c r="B234" s="103" t="s">
        <v>10</v>
      </c>
      <c r="C234" s="104" t="s">
        <v>46</v>
      </c>
      <c r="D234" s="105">
        <f>SUM(D217:D227)</f>
        <v>127.1111111111111</v>
      </c>
      <c r="E234" s="150">
        <f>'Custo Gerencial'!$G$48</f>
        <v>39.25</v>
      </c>
      <c r="F234" s="106">
        <f>D234*E234</f>
        <v>4989.1111111111104</v>
      </c>
    </row>
    <row r="235" spans="1:6">
      <c r="A235" s="234"/>
      <c r="B235" s="239"/>
      <c r="C235" s="49"/>
      <c r="D235" s="244"/>
      <c r="E235" s="246"/>
      <c r="F235" s="236"/>
    </row>
    <row r="236" spans="1:6" ht="13.8" thickBot="1">
      <c r="A236" s="107"/>
      <c r="B236" s="247" t="s">
        <v>73</v>
      </c>
      <c r="C236" s="109" t="s">
        <v>21</v>
      </c>
      <c r="D236" s="110">
        <v>1</v>
      </c>
      <c r="E236" s="223">
        <f>F215</f>
        <v>20096.409219161131</v>
      </c>
      <c r="F236" s="112">
        <f>E236*D236</f>
        <v>20096.409219161131</v>
      </c>
    </row>
    <row r="238" spans="1:6" ht="13.8" thickBot="1"/>
    <row r="239" spans="1:6" s="294" customFormat="1" ht="29.25" customHeight="1">
      <c r="A239" s="293" t="str">
        <f>"Produto "&amp;L14</f>
        <v>Produto 14</v>
      </c>
      <c r="B239" s="340" t="str">
        <f>M14</f>
        <v>Adequação de estudos e documentos de viabilidade técnica, ambiental, econômica e jurídica, com justificativas das alterações da Prorrogação Antecipada MRS</v>
      </c>
      <c r="C239" s="340"/>
      <c r="D239" s="340"/>
      <c r="E239" s="340"/>
      <c r="F239" s="341"/>
    </row>
    <row r="240" spans="1:6">
      <c r="A240" s="91" t="s">
        <v>3</v>
      </c>
      <c r="B240" s="92" t="s">
        <v>5</v>
      </c>
      <c r="C240" s="92" t="s">
        <v>6</v>
      </c>
      <c r="D240" s="92" t="s">
        <v>7</v>
      </c>
      <c r="E240" s="92" t="s">
        <v>40</v>
      </c>
      <c r="F240" s="93" t="s">
        <v>41</v>
      </c>
    </row>
    <row r="241" spans="1:6">
      <c r="A241" s="297" t="str">
        <f>"valor mês "&amp;A239</f>
        <v>valor mês Produto 14</v>
      </c>
      <c r="B241" s="237" t="str">
        <f>B239</f>
        <v>Adequação de estudos e documentos de viabilidade técnica, ambiental, econômica e jurídica, com justificativas das alterações da Prorrogação Antecipada MRS</v>
      </c>
      <c r="C241" s="38"/>
      <c r="D241" s="243"/>
      <c r="E241" s="42"/>
      <c r="F241" s="238">
        <f>F242+F255+F260</f>
        <v>20096.409219161131</v>
      </c>
    </row>
    <row r="242" spans="1:6">
      <c r="A242" s="242">
        <v>1</v>
      </c>
      <c r="B242" s="237" t="s">
        <v>45</v>
      </c>
      <c r="C242" s="38"/>
      <c r="D242" s="243"/>
      <c r="E242" s="42"/>
      <c r="F242" s="238">
        <f>SUM(F243:F254)</f>
        <v>10522.600897158196</v>
      </c>
    </row>
    <row r="243" spans="1:6">
      <c r="A243" s="96"/>
      <c r="B243" s="239" t="s">
        <v>55</v>
      </c>
      <c r="C243" s="38" t="s">
        <v>46</v>
      </c>
      <c r="D243" s="251">
        <f>HLOOKUP(B243,'Estimativa de horas por produto'!$F$33:$P$85,33,0)</f>
        <v>17.600000000000001</v>
      </c>
      <c r="E243" s="148">
        <f>VLOOKUP(B243,'Custo mao de obra Dnit'!A:AB,28,0)</f>
        <v>49.84170454545454</v>
      </c>
      <c r="F243" s="143">
        <f t="shared" ref="F243:F253" si="28">D243*E243</f>
        <v>877.21399999999994</v>
      </c>
    </row>
    <row r="244" spans="1:6">
      <c r="A244" s="96"/>
      <c r="B244" s="239" t="s">
        <v>56</v>
      </c>
      <c r="C244" s="38" t="s">
        <v>46</v>
      </c>
      <c r="D244" s="251">
        <f>HLOOKUP(B244,'Estimativa de horas por produto'!$F$33:$P$85,33,0)</f>
        <v>8.8000000000000007</v>
      </c>
      <c r="E244" s="148">
        <f>VLOOKUP(B244,'Custo mao de obra Dnit'!A:AB,28,0)</f>
        <v>65.018465909090907</v>
      </c>
      <c r="F244" s="143">
        <f t="shared" si="28"/>
        <v>572.16250000000002</v>
      </c>
    </row>
    <row r="245" spans="1:6">
      <c r="A245" s="96"/>
      <c r="B245" s="239" t="s">
        <v>57</v>
      </c>
      <c r="C245" s="38" t="s">
        <v>46</v>
      </c>
      <c r="D245" s="251">
        <f>HLOOKUP(B245,'Estimativa de horas por produto'!$F$33:$P$85,33,0)</f>
        <v>8.8000000000000007</v>
      </c>
      <c r="E245" s="148">
        <f>VLOOKUP(B245,'Custo mao de obra Dnit'!A:AB,28,0)</f>
        <v>75.596358262926245</v>
      </c>
      <c r="F245" s="143">
        <f t="shared" si="28"/>
        <v>665.24795271375103</v>
      </c>
    </row>
    <row r="246" spans="1:6">
      <c r="A246" s="96"/>
      <c r="B246" s="239" t="s">
        <v>58</v>
      </c>
      <c r="C246" s="38" t="s">
        <v>46</v>
      </c>
      <c r="D246" s="251">
        <f>HLOOKUP(B246,'Estimativa de horas por produto'!$F$33:$P$85,33,0)</f>
        <v>12.711111111111112</v>
      </c>
      <c r="E246" s="148">
        <f>VLOOKUP(B246,'Custo mao de obra Dnit'!A:AB,28,0)</f>
        <v>53.100624999999994</v>
      </c>
      <c r="F246" s="143">
        <f t="shared" si="28"/>
        <v>674.96794444444447</v>
      </c>
    </row>
    <row r="247" spans="1:6">
      <c r="A247" s="96"/>
      <c r="B247" s="239" t="s">
        <v>59</v>
      </c>
      <c r="C247" s="38" t="s">
        <v>46</v>
      </c>
      <c r="D247" s="251">
        <f>HLOOKUP(B247,'Estimativa de horas por produto'!$F$33:$P$85,33,0)</f>
        <v>9.7777777777777786</v>
      </c>
      <c r="E247" s="148">
        <f>VLOOKUP(B247,'Custo mao de obra Dnit'!A:AB,28,0)</f>
        <v>121.47482954545454</v>
      </c>
      <c r="F247" s="143">
        <f t="shared" si="28"/>
        <v>1187.7538888888889</v>
      </c>
    </row>
    <row r="248" spans="1:6">
      <c r="A248" s="96"/>
      <c r="B248" s="239" t="s">
        <v>60</v>
      </c>
      <c r="C248" s="38" t="s">
        <v>46</v>
      </c>
      <c r="D248" s="251">
        <f>HLOOKUP(B248,'Estimativa de horas por produto'!$F$33:$P$85,33,0)</f>
        <v>5.8666666666666663</v>
      </c>
      <c r="E248" s="148">
        <f>VLOOKUP(B248,'Custo mao de obra Dnit'!A:AB,28,0)</f>
        <v>45.856761363636366</v>
      </c>
      <c r="F248" s="143">
        <f t="shared" si="28"/>
        <v>269.02633333333335</v>
      </c>
    </row>
    <row r="249" spans="1:6">
      <c r="A249" s="96"/>
      <c r="B249" s="239" t="s">
        <v>61</v>
      </c>
      <c r="C249" s="38" t="s">
        <v>46</v>
      </c>
      <c r="D249" s="251">
        <f>HLOOKUP(B249,'Estimativa de horas por produto'!$F$33:$P$85,33,0)</f>
        <v>1.9555555555555553</v>
      </c>
      <c r="E249" s="148">
        <f>VLOOKUP(B249,'Custo mao de obra Dnit'!A:AB,28,0)</f>
        <v>95.24392045454546</v>
      </c>
      <c r="F249" s="143">
        <f t="shared" si="28"/>
        <v>186.25477777777778</v>
      </c>
    </row>
    <row r="250" spans="1:6">
      <c r="A250" s="96"/>
      <c r="B250" s="239" t="s">
        <v>62</v>
      </c>
      <c r="C250" s="38" t="s">
        <v>46</v>
      </c>
      <c r="D250" s="251">
        <f>HLOOKUP(B250,'Estimativa de horas por produto'!$F$33:$P$85,33,0)</f>
        <v>5.8666666666666663</v>
      </c>
      <c r="E250" s="148">
        <f>VLOOKUP(B250,'Custo mao de obra Dnit'!A:AB,28,0)</f>
        <v>95.230852272727276</v>
      </c>
      <c r="F250" s="143">
        <f t="shared" si="28"/>
        <v>558.6876666666667</v>
      </c>
    </row>
    <row r="251" spans="1:6">
      <c r="A251" s="96"/>
      <c r="B251" s="239" t="s">
        <v>63</v>
      </c>
      <c r="C251" s="38" t="s">
        <v>46</v>
      </c>
      <c r="D251" s="251">
        <f>HLOOKUP(B251,'Estimativa de horas por produto'!$F$33:$P$85,33,0)</f>
        <v>5.8666666666666663</v>
      </c>
      <c r="E251" s="148">
        <f>VLOOKUP(B251,'Custo mao de obra Dnit'!A:AB,28,0)</f>
        <v>107.9440909090909</v>
      </c>
      <c r="F251" s="143">
        <f t="shared" si="28"/>
        <v>633.27199999999993</v>
      </c>
    </row>
    <row r="252" spans="1:6">
      <c r="A252" s="96"/>
      <c r="B252" s="239" t="s">
        <v>64</v>
      </c>
      <c r="C252" s="38" t="s">
        <v>46</v>
      </c>
      <c r="D252" s="251">
        <f>HLOOKUP(B252,'Estimativa de horas por produto'!$F$33:$P$85,33,0)</f>
        <v>38.133333333333333</v>
      </c>
      <c r="E252" s="148">
        <f>VLOOKUP(B252,'Custo mao de obra Dnit'!A:AB,28,0)</f>
        <v>95.230852272727276</v>
      </c>
      <c r="F252" s="143">
        <f t="shared" si="28"/>
        <v>3631.4698333333336</v>
      </c>
    </row>
    <row r="253" spans="1:6">
      <c r="A253" s="96"/>
      <c r="B253" s="239" t="s">
        <v>65</v>
      </c>
      <c r="C253" s="38" t="s">
        <v>46</v>
      </c>
      <c r="D253" s="251">
        <f>HLOOKUP(B253,'Estimativa de horas por produto'!$F$33:$P$85,33,0)</f>
        <v>11.733333333333333</v>
      </c>
      <c r="E253" s="148">
        <f>VLOOKUP(B253,'Custo mao de obra Dnit'!A:AB,28,0)</f>
        <v>107.9440909090909</v>
      </c>
      <c r="F253" s="143">
        <f t="shared" si="28"/>
        <v>1266.5439999999999</v>
      </c>
    </row>
    <row r="254" spans="1:6">
      <c r="A254" s="96"/>
      <c r="B254" s="239"/>
      <c r="C254" s="38"/>
      <c r="D254" s="251"/>
      <c r="E254" s="148"/>
      <c r="F254" s="143"/>
    </row>
    <row r="255" spans="1:6">
      <c r="A255" s="242">
        <v>2</v>
      </c>
      <c r="B255" s="237" t="s">
        <v>201</v>
      </c>
      <c r="C255" s="245"/>
      <c r="D255" s="243"/>
      <c r="E255" s="45"/>
      <c r="F255" s="238">
        <f>SUM(F256:F258)</f>
        <v>4584.6972108918262</v>
      </c>
    </row>
    <row r="256" spans="1:6">
      <c r="A256" s="234"/>
      <c r="B256" s="239" t="s">
        <v>223</v>
      </c>
      <c r="C256" s="240" t="s">
        <v>19</v>
      </c>
      <c r="D256" s="244">
        <f>$F$242</f>
        <v>10522.600897158196</v>
      </c>
      <c r="E256" s="252">
        <f>'Custos diversos e BDI - DNIT'!$D$30/100</f>
        <v>0.11110000000000002</v>
      </c>
      <c r="F256" s="236">
        <f>D256*E256</f>
        <v>1169.0609596742759</v>
      </c>
    </row>
    <row r="257" spans="1:6">
      <c r="A257" s="234"/>
      <c r="B257" s="239" t="s">
        <v>224</v>
      </c>
      <c r="C257" s="240" t="s">
        <v>19</v>
      </c>
      <c r="D257" s="244">
        <f t="shared" ref="D257:D258" si="29">$F$242</f>
        <v>10522.600897158196</v>
      </c>
      <c r="E257" s="252">
        <f>'Custos diversos e BDI - DNIT'!$D$33/100</f>
        <v>0.12</v>
      </c>
      <c r="F257" s="236">
        <f t="shared" ref="F257:F258" si="30">D257*E257</f>
        <v>1262.7121076589835</v>
      </c>
    </row>
    <row r="258" spans="1:6">
      <c r="A258" s="234"/>
      <c r="B258" s="239" t="s">
        <v>225</v>
      </c>
      <c r="C258" s="240" t="s">
        <v>19</v>
      </c>
      <c r="D258" s="244">
        <f t="shared" si="29"/>
        <v>10522.600897158196</v>
      </c>
      <c r="E258" s="252">
        <f>'Custos diversos e BDI - DNIT'!$D$38/100</f>
        <v>0.2046</v>
      </c>
      <c r="F258" s="236">
        <f t="shared" si="30"/>
        <v>2152.9241435585668</v>
      </c>
    </row>
    <row r="259" spans="1:6">
      <c r="A259" s="234"/>
      <c r="B259" s="239"/>
      <c r="C259" s="49"/>
      <c r="D259" s="244"/>
      <c r="E259" s="246"/>
      <c r="F259" s="238"/>
    </row>
    <row r="260" spans="1:6">
      <c r="A260" s="102">
        <v>3</v>
      </c>
      <c r="B260" s="103" t="s">
        <v>10</v>
      </c>
      <c r="C260" s="104" t="s">
        <v>46</v>
      </c>
      <c r="D260" s="105">
        <f>SUM(D243:D253)</f>
        <v>127.1111111111111</v>
      </c>
      <c r="E260" s="150">
        <f>'Custo Gerencial'!$G$48</f>
        <v>39.25</v>
      </c>
      <c r="F260" s="106">
        <f>D260*E260</f>
        <v>4989.1111111111104</v>
      </c>
    </row>
    <row r="261" spans="1:6">
      <c r="A261" s="234"/>
      <c r="B261" s="239"/>
      <c r="C261" s="49"/>
      <c r="D261" s="244"/>
      <c r="E261" s="246"/>
      <c r="F261" s="236"/>
    </row>
    <row r="262" spans="1:6" ht="13.8" thickBot="1">
      <c r="A262" s="107"/>
      <c r="B262" s="247" t="s">
        <v>73</v>
      </c>
      <c r="C262" s="109" t="s">
        <v>21</v>
      </c>
      <c r="D262" s="110">
        <v>1</v>
      </c>
      <c r="E262" s="223">
        <f>F241</f>
        <v>20096.409219161131</v>
      </c>
      <c r="F262" s="112">
        <f>E262*D262</f>
        <v>20096.409219161131</v>
      </c>
    </row>
  </sheetData>
  <sheetProtection algorithmName="SHA-512" hashValue="4Z4sMronhl38joL1F0idFmwNnntxSLfVuwCiyze9LB/IEqJ88m6EtbmhAHMrsa3jN/jogy8C3CJJBH57rYXRqQ==" saltValue="X24KGN2ryC9ygm1KqAVcmg==" spinCount="100000" sheet="1" objects="1" scenarios="1"/>
  <mergeCells count="12">
    <mergeCell ref="A1:B1"/>
    <mergeCell ref="C1:E1"/>
    <mergeCell ref="B31:F31"/>
    <mergeCell ref="B213:F213"/>
    <mergeCell ref="B239:F239"/>
    <mergeCell ref="B5:F5"/>
    <mergeCell ref="B57:F57"/>
    <mergeCell ref="B83:F83"/>
    <mergeCell ref="B109:F109"/>
    <mergeCell ref="B135:F135"/>
    <mergeCell ref="B161:F161"/>
    <mergeCell ref="B187:F187"/>
  </mergeCells>
  <printOptions horizontalCentered="1"/>
  <pageMargins left="0.39370078740157483" right="0.39370078740157483" top="1.1811023622047245" bottom="0.59055118110236227" header="0.39370078740157483" footer="0.39370078740157483"/>
  <pageSetup paperSize="9" scale="50" firstPageNumber="0" fitToHeight="0" orientation="portrait" r:id="rId1"/>
  <headerFooter alignWithMargins="0">
    <oddHeader>&amp;L&amp;G</oddHeader>
    <oddFooter>&amp;A</oddFooter>
  </headerFooter>
  <rowBreaks count="2" manualBreakCount="2">
    <brk id="30" max="5" man="1"/>
    <brk id="238" max="5"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M132"/>
  <sheetViews>
    <sheetView showGridLines="0" zoomScale="85" zoomScaleNormal="85" zoomScaleSheetLayoutView="85" zoomScalePageLayoutView="85" workbookViewId="0">
      <pane ySplit="1" topLeftCell="A2" activePane="bottomLeft" state="frozen"/>
      <selection activeCell="Q146" sqref="Q146"/>
      <selection pane="bottomLeft" activeCell="A2" sqref="A2"/>
    </sheetView>
  </sheetViews>
  <sheetFormatPr defaultColWidth="8.6640625" defaultRowHeight="13.2"/>
  <cols>
    <col min="1" max="1" width="12.44140625" style="70" customWidth="1"/>
    <col min="2" max="2" width="72.5546875" style="70" customWidth="1"/>
    <col min="3" max="3" width="12.6640625" style="70" customWidth="1"/>
    <col min="4" max="4" width="13.5546875" style="86" customWidth="1"/>
    <col min="5" max="5" width="14.44140625" style="86" customWidth="1"/>
    <col min="6" max="6" width="15.109375" style="86" customWidth="1"/>
    <col min="7" max="7" width="13.109375" style="86" bestFit="1" customWidth="1"/>
    <col min="8" max="8" width="14.6640625" style="86" customWidth="1"/>
    <col min="9" max="9" width="13.33203125" style="86" customWidth="1"/>
    <col min="10" max="10" width="18.5546875" style="86" customWidth="1"/>
    <col min="11" max="12" width="8.6640625" style="86" customWidth="1"/>
    <col min="13" max="218" width="8.6640625" style="86"/>
    <col min="219" max="219" width="12.6640625" style="86" customWidth="1"/>
    <col min="220" max="220" width="60.33203125" style="86" customWidth="1"/>
    <col min="221" max="222" width="12.6640625" style="86" customWidth="1"/>
    <col min="223" max="223" width="12.33203125" style="86" bestFit="1" customWidth="1"/>
    <col min="224" max="224" width="15.6640625" style="86" customWidth="1"/>
    <col min="225" max="225" width="17.6640625" style="86" bestFit="1" customWidth="1"/>
    <col min="226" max="226" width="8.6640625" style="86"/>
    <col min="227" max="227" width="18" style="86" bestFit="1" customWidth="1"/>
    <col min="228" max="229" width="8.6640625" style="86"/>
    <col min="230" max="230" width="21.6640625" style="86" customWidth="1"/>
    <col min="231" max="231" width="9.44140625" style="86" bestFit="1" customWidth="1"/>
    <col min="232" max="474" width="8.6640625" style="86"/>
    <col min="475" max="475" width="12.6640625" style="86" customWidth="1"/>
    <col min="476" max="476" width="60.33203125" style="86" customWidth="1"/>
    <col min="477" max="478" width="12.6640625" style="86" customWidth="1"/>
    <col min="479" max="479" width="12.33203125" style="86" bestFit="1" customWidth="1"/>
    <col min="480" max="480" width="15.6640625" style="86" customWidth="1"/>
    <col min="481" max="481" width="17.6640625" style="86" bestFit="1" customWidth="1"/>
    <col min="482" max="482" width="8.6640625" style="86"/>
    <col min="483" max="483" width="18" style="86" bestFit="1" customWidth="1"/>
    <col min="484" max="485" width="8.6640625" style="86"/>
    <col min="486" max="486" width="21.6640625" style="86" customWidth="1"/>
    <col min="487" max="487" width="9.44140625" style="86" bestFit="1" customWidth="1"/>
    <col min="488" max="730" width="8.6640625" style="86"/>
    <col min="731" max="731" width="12.6640625" style="86" customWidth="1"/>
    <col min="732" max="732" width="60.33203125" style="86" customWidth="1"/>
    <col min="733" max="734" width="12.6640625" style="86" customWidth="1"/>
    <col min="735" max="735" width="12.33203125" style="86" bestFit="1" customWidth="1"/>
    <col min="736" max="736" width="15.6640625" style="86" customWidth="1"/>
    <col min="737" max="737" width="17.6640625" style="86" bestFit="1" customWidth="1"/>
    <col min="738" max="738" width="8.6640625" style="86"/>
    <col min="739" max="739" width="18" style="86" bestFit="1" customWidth="1"/>
    <col min="740" max="741" width="8.6640625" style="86"/>
    <col min="742" max="742" width="21.6640625" style="86" customWidth="1"/>
    <col min="743" max="743" width="9.44140625" style="86" bestFit="1" customWidth="1"/>
    <col min="744" max="986" width="8.6640625" style="86"/>
    <col min="987" max="987" width="12.6640625" style="86" customWidth="1"/>
    <col min="988" max="988" width="60.33203125" style="86" customWidth="1"/>
    <col min="989" max="990" width="12.6640625" style="86" customWidth="1"/>
    <col min="991" max="991" width="12.33203125" style="86" bestFit="1" customWidth="1"/>
    <col min="992" max="992" width="15.6640625" style="86" customWidth="1"/>
    <col min="993" max="993" width="17.6640625" style="86" bestFit="1" customWidth="1"/>
    <col min="994" max="994" width="8.6640625" style="86"/>
    <col min="995" max="995" width="18" style="86" bestFit="1" customWidth="1"/>
    <col min="996" max="997" width="8.6640625" style="86"/>
    <col min="998" max="998" width="21.6640625" style="86" customWidth="1"/>
    <col min="999" max="999" width="9.44140625" style="86" bestFit="1" customWidth="1"/>
    <col min="1000" max="1242" width="8.6640625" style="86"/>
    <col min="1243" max="1243" width="12.6640625" style="86" customWidth="1"/>
    <col min="1244" max="1244" width="60.33203125" style="86" customWidth="1"/>
    <col min="1245" max="1246" width="12.6640625" style="86" customWidth="1"/>
    <col min="1247" max="1247" width="12.33203125" style="86" bestFit="1" customWidth="1"/>
    <col min="1248" max="1248" width="15.6640625" style="86" customWidth="1"/>
    <col min="1249" max="1249" width="17.6640625" style="86" bestFit="1" customWidth="1"/>
    <col min="1250" max="1250" width="8.6640625" style="86"/>
    <col min="1251" max="1251" width="18" style="86" bestFit="1" customWidth="1"/>
    <col min="1252" max="1253" width="8.6640625" style="86"/>
    <col min="1254" max="1254" width="21.6640625" style="86" customWidth="1"/>
    <col min="1255" max="1255" width="9.44140625" style="86" bestFit="1" customWidth="1"/>
    <col min="1256" max="1498" width="8.6640625" style="86"/>
    <col min="1499" max="1499" width="12.6640625" style="86" customWidth="1"/>
    <col min="1500" max="1500" width="60.33203125" style="86" customWidth="1"/>
    <col min="1501" max="1502" width="12.6640625" style="86" customWidth="1"/>
    <col min="1503" max="1503" width="12.33203125" style="86" bestFit="1" customWidth="1"/>
    <col min="1504" max="1504" width="15.6640625" style="86" customWidth="1"/>
    <col min="1505" max="1505" width="17.6640625" style="86" bestFit="1" customWidth="1"/>
    <col min="1506" max="1506" width="8.6640625" style="86"/>
    <col min="1507" max="1507" width="18" style="86" bestFit="1" customWidth="1"/>
    <col min="1508" max="1509" width="8.6640625" style="86"/>
    <col min="1510" max="1510" width="21.6640625" style="86" customWidth="1"/>
    <col min="1511" max="1511" width="9.44140625" style="86" bestFit="1" customWidth="1"/>
    <col min="1512" max="1754" width="8.6640625" style="86"/>
    <col min="1755" max="1755" width="12.6640625" style="86" customWidth="1"/>
    <col min="1756" max="1756" width="60.33203125" style="86" customWidth="1"/>
    <col min="1757" max="1758" width="12.6640625" style="86" customWidth="1"/>
    <col min="1759" max="1759" width="12.33203125" style="86" bestFit="1" customWidth="1"/>
    <col min="1760" max="1760" width="15.6640625" style="86" customWidth="1"/>
    <col min="1761" max="1761" width="17.6640625" style="86" bestFit="1" customWidth="1"/>
    <col min="1762" max="1762" width="8.6640625" style="86"/>
    <col min="1763" max="1763" width="18" style="86" bestFit="1" customWidth="1"/>
    <col min="1764" max="1765" width="8.6640625" style="86"/>
    <col min="1766" max="1766" width="21.6640625" style="86" customWidth="1"/>
    <col min="1767" max="1767" width="9.44140625" style="86" bestFit="1" customWidth="1"/>
    <col min="1768" max="2010" width="8.6640625" style="86"/>
    <col min="2011" max="2011" width="12.6640625" style="86" customWidth="1"/>
    <col min="2012" max="2012" width="60.33203125" style="86" customWidth="1"/>
    <col min="2013" max="2014" width="12.6640625" style="86" customWidth="1"/>
    <col min="2015" max="2015" width="12.33203125" style="86" bestFit="1" customWidth="1"/>
    <col min="2016" max="2016" width="15.6640625" style="86" customWidth="1"/>
    <col min="2017" max="2017" width="17.6640625" style="86" bestFit="1" customWidth="1"/>
    <col min="2018" max="2018" width="8.6640625" style="86"/>
    <col min="2019" max="2019" width="18" style="86" bestFit="1" customWidth="1"/>
    <col min="2020" max="2021" width="8.6640625" style="86"/>
    <col min="2022" max="2022" width="21.6640625" style="86" customWidth="1"/>
    <col min="2023" max="2023" width="9.44140625" style="86" bestFit="1" customWidth="1"/>
    <col min="2024" max="2266" width="8.6640625" style="86"/>
    <col min="2267" max="2267" width="12.6640625" style="86" customWidth="1"/>
    <col min="2268" max="2268" width="60.33203125" style="86" customWidth="1"/>
    <col min="2269" max="2270" width="12.6640625" style="86" customWidth="1"/>
    <col min="2271" max="2271" width="12.33203125" style="86" bestFit="1" customWidth="1"/>
    <col min="2272" max="2272" width="15.6640625" style="86" customWidth="1"/>
    <col min="2273" max="2273" width="17.6640625" style="86" bestFit="1" customWidth="1"/>
    <col min="2274" max="2274" width="8.6640625" style="86"/>
    <col min="2275" max="2275" width="18" style="86" bestFit="1" customWidth="1"/>
    <col min="2276" max="2277" width="8.6640625" style="86"/>
    <col min="2278" max="2278" width="21.6640625" style="86" customWidth="1"/>
    <col min="2279" max="2279" width="9.44140625" style="86" bestFit="1" customWidth="1"/>
    <col min="2280" max="2522" width="8.6640625" style="86"/>
    <col min="2523" max="2523" width="12.6640625" style="86" customWidth="1"/>
    <col min="2524" max="2524" width="60.33203125" style="86" customWidth="1"/>
    <col min="2525" max="2526" width="12.6640625" style="86" customWidth="1"/>
    <col min="2527" max="2527" width="12.33203125" style="86" bestFit="1" customWidth="1"/>
    <col min="2528" max="2528" width="15.6640625" style="86" customWidth="1"/>
    <col min="2529" max="2529" width="17.6640625" style="86" bestFit="1" customWidth="1"/>
    <col min="2530" max="2530" width="8.6640625" style="86"/>
    <col min="2531" max="2531" width="18" style="86" bestFit="1" customWidth="1"/>
    <col min="2532" max="2533" width="8.6640625" style="86"/>
    <col min="2534" max="2534" width="21.6640625" style="86" customWidth="1"/>
    <col min="2535" max="2535" width="9.44140625" style="86" bestFit="1" customWidth="1"/>
    <col min="2536" max="2778" width="8.6640625" style="86"/>
    <col min="2779" max="2779" width="12.6640625" style="86" customWidth="1"/>
    <col min="2780" max="2780" width="60.33203125" style="86" customWidth="1"/>
    <col min="2781" max="2782" width="12.6640625" style="86" customWidth="1"/>
    <col min="2783" max="2783" width="12.33203125" style="86" bestFit="1" customWidth="1"/>
    <col min="2784" max="2784" width="15.6640625" style="86" customWidth="1"/>
    <col min="2785" max="2785" width="17.6640625" style="86" bestFit="1" customWidth="1"/>
    <col min="2786" max="2786" width="8.6640625" style="86"/>
    <col min="2787" max="2787" width="18" style="86" bestFit="1" customWidth="1"/>
    <col min="2788" max="2789" width="8.6640625" style="86"/>
    <col min="2790" max="2790" width="21.6640625" style="86" customWidth="1"/>
    <col min="2791" max="2791" width="9.44140625" style="86" bestFit="1" customWidth="1"/>
    <col min="2792" max="3034" width="8.6640625" style="86"/>
    <col min="3035" max="3035" width="12.6640625" style="86" customWidth="1"/>
    <col min="3036" max="3036" width="60.33203125" style="86" customWidth="1"/>
    <col min="3037" max="3038" width="12.6640625" style="86" customWidth="1"/>
    <col min="3039" max="3039" width="12.33203125" style="86" bestFit="1" customWidth="1"/>
    <col min="3040" max="3040" width="15.6640625" style="86" customWidth="1"/>
    <col min="3041" max="3041" width="17.6640625" style="86" bestFit="1" customWidth="1"/>
    <col min="3042" max="3042" width="8.6640625" style="86"/>
    <col min="3043" max="3043" width="18" style="86" bestFit="1" customWidth="1"/>
    <col min="3044" max="3045" width="8.6640625" style="86"/>
    <col min="3046" max="3046" width="21.6640625" style="86" customWidth="1"/>
    <col min="3047" max="3047" width="9.44140625" style="86" bestFit="1" customWidth="1"/>
    <col min="3048" max="3290" width="8.6640625" style="86"/>
    <col min="3291" max="3291" width="12.6640625" style="86" customWidth="1"/>
    <col min="3292" max="3292" width="60.33203125" style="86" customWidth="1"/>
    <col min="3293" max="3294" width="12.6640625" style="86" customWidth="1"/>
    <col min="3295" max="3295" width="12.33203125" style="86" bestFit="1" customWidth="1"/>
    <col min="3296" max="3296" width="15.6640625" style="86" customWidth="1"/>
    <col min="3297" max="3297" width="17.6640625" style="86" bestFit="1" customWidth="1"/>
    <col min="3298" max="3298" width="8.6640625" style="86"/>
    <col min="3299" max="3299" width="18" style="86" bestFit="1" customWidth="1"/>
    <col min="3300" max="3301" width="8.6640625" style="86"/>
    <col min="3302" max="3302" width="21.6640625" style="86" customWidth="1"/>
    <col min="3303" max="3303" width="9.44140625" style="86" bestFit="1" customWidth="1"/>
    <col min="3304" max="3546" width="8.6640625" style="86"/>
    <col min="3547" max="3547" width="12.6640625" style="86" customWidth="1"/>
    <col min="3548" max="3548" width="60.33203125" style="86" customWidth="1"/>
    <col min="3549" max="3550" width="12.6640625" style="86" customWidth="1"/>
    <col min="3551" max="3551" width="12.33203125" style="86" bestFit="1" customWidth="1"/>
    <col min="3552" max="3552" width="15.6640625" style="86" customWidth="1"/>
    <col min="3553" max="3553" width="17.6640625" style="86" bestFit="1" customWidth="1"/>
    <col min="3554" max="3554" width="8.6640625" style="86"/>
    <col min="3555" max="3555" width="18" style="86" bestFit="1" customWidth="1"/>
    <col min="3556" max="3557" width="8.6640625" style="86"/>
    <col min="3558" max="3558" width="21.6640625" style="86" customWidth="1"/>
    <col min="3559" max="3559" width="9.44140625" style="86" bestFit="1" customWidth="1"/>
    <col min="3560" max="3802" width="8.6640625" style="86"/>
    <col min="3803" max="3803" width="12.6640625" style="86" customWidth="1"/>
    <col min="3804" max="3804" width="60.33203125" style="86" customWidth="1"/>
    <col min="3805" max="3806" width="12.6640625" style="86" customWidth="1"/>
    <col min="3807" max="3807" width="12.33203125" style="86" bestFit="1" customWidth="1"/>
    <col min="3808" max="3808" width="15.6640625" style="86" customWidth="1"/>
    <col min="3809" max="3809" width="17.6640625" style="86" bestFit="1" customWidth="1"/>
    <col min="3810" max="3810" width="8.6640625" style="86"/>
    <col min="3811" max="3811" width="18" style="86" bestFit="1" customWidth="1"/>
    <col min="3812" max="3813" width="8.6640625" style="86"/>
    <col min="3814" max="3814" width="21.6640625" style="86" customWidth="1"/>
    <col min="3815" max="3815" width="9.44140625" style="86" bestFit="1" customWidth="1"/>
    <col min="3816" max="4058" width="8.6640625" style="86"/>
    <col min="4059" max="4059" width="12.6640625" style="86" customWidth="1"/>
    <col min="4060" max="4060" width="60.33203125" style="86" customWidth="1"/>
    <col min="4061" max="4062" width="12.6640625" style="86" customWidth="1"/>
    <col min="4063" max="4063" width="12.33203125" style="86" bestFit="1" customWidth="1"/>
    <col min="4064" max="4064" width="15.6640625" style="86" customWidth="1"/>
    <col min="4065" max="4065" width="17.6640625" style="86" bestFit="1" customWidth="1"/>
    <col min="4066" max="4066" width="8.6640625" style="86"/>
    <col min="4067" max="4067" width="18" style="86" bestFit="1" customWidth="1"/>
    <col min="4068" max="4069" width="8.6640625" style="86"/>
    <col min="4070" max="4070" width="21.6640625" style="86" customWidth="1"/>
    <col min="4071" max="4071" width="9.44140625" style="86" bestFit="1" customWidth="1"/>
    <col min="4072" max="4314" width="8.6640625" style="86"/>
    <col min="4315" max="4315" width="12.6640625" style="86" customWidth="1"/>
    <col min="4316" max="4316" width="60.33203125" style="86" customWidth="1"/>
    <col min="4317" max="4318" width="12.6640625" style="86" customWidth="1"/>
    <col min="4319" max="4319" width="12.33203125" style="86" bestFit="1" customWidth="1"/>
    <col min="4320" max="4320" width="15.6640625" style="86" customWidth="1"/>
    <col min="4321" max="4321" width="17.6640625" style="86" bestFit="1" customWidth="1"/>
    <col min="4322" max="4322" width="8.6640625" style="86"/>
    <col min="4323" max="4323" width="18" style="86" bestFit="1" customWidth="1"/>
    <col min="4324" max="4325" width="8.6640625" style="86"/>
    <col min="4326" max="4326" width="21.6640625" style="86" customWidth="1"/>
    <col min="4327" max="4327" width="9.44140625" style="86" bestFit="1" customWidth="1"/>
    <col min="4328" max="4570" width="8.6640625" style="86"/>
    <col min="4571" max="4571" width="12.6640625" style="86" customWidth="1"/>
    <col min="4572" max="4572" width="60.33203125" style="86" customWidth="1"/>
    <col min="4573" max="4574" width="12.6640625" style="86" customWidth="1"/>
    <col min="4575" max="4575" width="12.33203125" style="86" bestFit="1" customWidth="1"/>
    <col min="4576" max="4576" width="15.6640625" style="86" customWidth="1"/>
    <col min="4577" max="4577" width="17.6640625" style="86" bestFit="1" customWidth="1"/>
    <col min="4578" max="4578" width="8.6640625" style="86"/>
    <col min="4579" max="4579" width="18" style="86" bestFit="1" customWidth="1"/>
    <col min="4580" max="4581" width="8.6640625" style="86"/>
    <col min="4582" max="4582" width="21.6640625" style="86" customWidth="1"/>
    <col min="4583" max="4583" width="9.44140625" style="86" bestFit="1" customWidth="1"/>
    <col min="4584" max="4826" width="8.6640625" style="86"/>
    <col min="4827" max="4827" width="12.6640625" style="86" customWidth="1"/>
    <col min="4828" max="4828" width="60.33203125" style="86" customWidth="1"/>
    <col min="4829" max="4830" width="12.6640625" style="86" customWidth="1"/>
    <col min="4831" max="4831" width="12.33203125" style="86" bestFit="1" customWidth="1"/>
    <col min="4832" max="4832" width="15.6640625" style="86" customWidth="1"/>
    <col min="4833" max="4833" width="17.6640625" style="86" bestFit="1" customWidth="1"/>
    <col min="4834" max="4834" width="8.6640625" style="86"/>
    <col min="4835" max="4835" width="18" style="86" bestFit="1" customWidth="1"/>
    <col min="4836" max="4837" width="8.6640625" style="86"/>
    <col min="4838" max="4838" width="21.6640625" style="86" customWidth="1"/>
    <col min="4839" max="4839" width="9.44140625" style="86" bestFit="1" customWidth="1"/>
    <col min="4840" max="5082" width="8.6640625" style="86"/>
    <col min="5083" max="5083" width="12.6640625" style="86" customWidth="1"/>
    <col min="5084" max="5084" width="60.33203125" style="86" customWidth="1"/>
    <col min="5085" max="5086" width="12.6640625" style="86" customWidth="1"/>
    <col min="5087" max="5087" width="12.33203125" style="86" bestFit="1" customWidth="1"/>
    <col min="5088" max="5088" width="15.6640625" style="86" customWidth="1"/>
    <col min="5089" max="5089" width="17.6640625" style="86" bestFit="1" customWidth="1"/>
    <col min="5090" max="5090" width="8.6640625" style="86"/>
    <col min="5091" max="5091" width="18" style="86" bestFit="1" customWidth="1"/>
    <col min="5092" max="5093" width="8.6640625" style="86"/>
    <col min="5094" max="5094" width="21.6640625" style="86" customWidth="1"/>
    <col min="5095" max="5095" width="9.44140625" style="86" bestFit="1" customWidth="1"/>
    <col min="5096" max="5338" width="8.6640625" style="86"/>
    <col min="5339" max="5339" width="12.6640625" style="86" customWidth="1"/>
    <col min="5340" max="5340" width="60.33203125" style="86" customWidth="1"/>
    <col min="5341" max="5342" width="12.6640625" style="86" customWidth="1"/>
    <col min="5343" max="5343" width="12.33203125" style="86" bestFit="1" customWidth="1"/>
    <col min="5344" max="5344" width="15.6640625" style="86" customWidth="1"/>
    <col min="5345" max="5345" width="17.6640625" style="86" bestFit="1" customWidth="1"/>
    <col min="5346" max="5346" width="8.6640625" style="86"/>
    <col min="5347" max="5347" width="18" style="86" bestFit="1" customWidth="1"/>
    <col min="5348" max="5349" width="8.6640625" style="86"/>
    <col min="5350" max="5350" width="21.6640625" style="86" customWidth="1"/>
    <col min="5351" max="5351" width="9.44140625" style="86" bestFit="1" customWidth="1"/>
    <col min="5352" max="5594" width="8.6640625" style="86"/>
    <col min="5595" max="5595" width="12.6640625" style="86" customWidth="1"/>
    <col min="5596" max="5596" width="60.33203125" style="86" customWidth="1"/>
    <col min="5597" max="5598" width="12.6640625" style="86" customWidth="1"/>
    <col min="5599" max="5599" width="12.33203125" style="86" bestFit="1" customWidth="1"/>
    <col min="5600" max="5600" width="15.6640625" style="86" customWidth="1"/>
    <col min="5601" max="5601" width="17.6640625" style="86" bestFit="1" customWidth="1"/>
    <col min="5602" max="5602" width="8.6640625" style="86"/>
    <col min="5603" max="5603" width="18" style="86" bestFit="1" customWidth="1"/>
    <col min="5604" max="5605" width="8.6640625" style="86"/>
    <col min="5606" max="5606" width="21.6640625" style="86" customWidth="1"/>
    <col min="5607" max="5607" width="9.44140625" style="86" bestFit="1" customWidth="1"/>
    <col min="5608" max="5850" width="8.6640625" style="86"/>
    <col min="5851" max="5851" width="12.6640625" style="86" customWidth="1"/>
    <col min="5852" max="5852" width="60.33203125" style="86" customWidth="1"/>
    <col min="5853" max="5854" width="12.6640625" style="86" customWidth="1"/>
    <col min="5855" max="5855" width="12.33203125" style="86" bestFit="1" customWidth="1"/>
    <col min="5856" max="5856" width="15.6640625" style="86" customWidth="1"/>
    <col min="5857" max="5857" width="17.6640625" style="86" bestFit="1" customWidth="1"/>
    <col min="5858" max="5858" width="8.6640625" style="86"/>
    <col min="5859" max="5859" width="18" style="86" bestFit="1" customWidth="1"/>
    <col min="5860" max="5861" width="8.6640625" style="86"/>
    <col min="5862" max="5862" width="21.6640625" style="86" customWidth="1"/>
    <col min="5863" max="5863" width="9.44140625" style="86" bestFit="1" customWidth="1"/>
    <col min="5864" max="6106" width="8.6640625" style="86"/>
    <col min="6107" max="6107" width="12.6640625" style="86" customWidth="1"/>
    <col min="6108" max="6108" width="60.33203125" style="86" customWidth="1"/>
    <col min="6109" max="6110" width="12.6640625" style="86" customWidth="1"/>
    <col min="6111" max="6111" width="12.33203125" style="86" bestFit="1" customWidth="1"/>
    <col min="6112" max="6112" width="15.6640625" style="86" customWidth="1"/>
    <col min="6113" max="6113" width="17.6640625" style="86" bestFit="1" customWidth="1"/>
    <col min="6114" max="6114" width="8.6640625" style="86"/>
    <col min="6115" max="6115" width="18" style="86" bestFit="1" customWidth="1"/>
    <col min="6116" max="6117" width="8.6640625" style="86"/>
    <col min="6118" max="6118" width="21.6640625" style="86" customWidth="1"/>
    <col min="6119" max="6119" width="9.44140625" style="86" bestFit="1" customWidth="1"/>
    <col min="6120" max="6362" width="8.6640625" style="86"/>
    <col min="6363" max="6363" width="12.6640625" style="86" customWidth="1"/>
    <col min="6364" max="6364" width="60.33203125" style="86" customWidth="1"/>
    <col min="6365" max="6366" width="12.6640625" style="86" customWidth="1"/>
    <col min="6367" max="6367" width="12.33203125" style="86" bestFit="1" customWidth="1"/>
    <col min="6368" max="6368" width="15.6640625" style="86" customWidth="1"/>
    <col min="6369" max="6369" width="17.6640625" style="86" bestFit="1" customWidth="1"/>
    <col min="6370" max="6370" width="8.6640625" style="86"/>
    <col min="6371" max="6371" width="18" style="86" bestFit="1" customWidth="1"/>
    <col min="6372" max="6373" width="8.6640625" style="86"/>
    <col min="6374" max="6374" width="21.6640625" style="86" customWidth="1"/>
    <col min="6375" max="6375" width="9.44140625" style="86" bestFit="1" customWidth="1"/>
    <col min="6376" max="6618" width="8.6640625" style="86"/>
    <col min="6619" max="6619" width="12.6640625" style="86" customWidth="1"/>
    <col min="6620" max="6620" width="60.33203125" style="86" customWidth="1"/>
    <col min="6621" max="6622" width="12.6640625" style="86" customWidth="1"/>
    <col min="6623" max="6623" width="12.33203125" style="86" bestFit="1" customWidth="1"/>
    <col min="6624" max="6624" width="15.6640625" style="86" customWidth="1"/>
    <col min="6625" max="6625" width="17.6640625" style="86" bestFit="1" customWidth="1"/>
    <col min="6626" max="6626" width="8.6640625" style="86"/>
    <col min="6627" max="6627" width="18" style="86" bestFit="1" customWidth="1"/>
    <col min="6628" max="6629" width="8.6640625" style="86"/>
    <col min="6630" max="6630" width="21.6640625" style="86" customWidth="1"/>
    <col min="6631" max="6631" width="9.44140625" style="86" bestFit="1" customWidth="1"/>
    <col min="6632" max="6874" width="8.6640625" style="86"/>
    <col min="6875" max="6875" width="12.6640625" style="86" customWidth="1"/>
    <col min="6876" max="6876" width="60.33203125" style="86" customWidth="1"/>
    <col min="6877" max="6878" width="12.6640625" style="86" customWidth="1"/>
    <col min="6879" max="6879" width="12.33203125" style="86" bestFit="1" customWidth="1"/>
    <col min="6880" max="6880" width="15.6640625" style="86" customWidth="1"/>
    <col min="6881" max="6881" width="17.6640625" style="86" bestFit="1" customWidth="1"/>
    <col min="6882" max="6882" width="8.6640625" style="86"/>
    <col min="6883" max="6883" width="18" style="86" bestFit="1" customWidth="1"/>
    <col min="6884" max="6885" width="8.6640625" style="86"/>
    <col min="6886" max="6886" width="21.6640625" style="86" customWidth="1"/>
    <col min="6887" max="6887" width="9.44140625" style="86" bestFit="1" customWidth="1"/>
    <col min="6888" max="7130" width="8.6640625" style="86"/>
    <col min="7131" max="7131" width="12.6640625" style="86" customWidth="1"/>
    <col min="7132" max="7132" width="60.33203125" style="86" customWidth="1"/>
    <col min="7133" max="7134" width="12.6640625" style="86" customWidth="1"/>
    <col min="7135" max="7135" width="12.33203125" style="86" bestFit="1" customWidth="1"/>
    <col min="7136" max="7136" width="15.6640625" style="86" customWidth="1"/>
    <col min="7137" max="7137" width="17.6640625" style="86" bestFit="1" customWidth="1"/>
    <col min="7138" max="7138" width="8.6640625" style="86"/>
    <col min="7139" max="7139" width="18" style="86" bestFit="1" customWidth="1"/>
    <col min="7140" max="7141" width="8.6640625" style="86"/>
    <col min="7142" max="7142" width="21.6640625" style="86" customWidth="1"/>
    <col min="7143" max="7143" width="9.44140625" style="86" bestFit="1" customWidth="1"/>
    <col min="7144" max="7386" width="8.6640625" style="86"/>
    <col min="7387" max="7387" width="12.6640625" style="86" customWidth="1"/>
    <col min="7388" max="7388" width="60.33203125" style="86" customWidth="1"/>
    <col min="7389" max="7390" width="12.6640625" style="86" customWidth="1"/>
    <col min="7391" max="7391" width="12.33203125" style="86" bestFit="1" customWidth="1"/>
    <col min="7392" max="7392" width="15.6640625" style="86" customWidth="1"/>
    <col min="7393" max="7393" width="17.6640625" style="86" bestFit="1" customWidth="1"/>
    <col min="7394" max="7394" width="8.6640625" style="86"/>
    <col min="7395" max="7395" width="18" style="86" bestFit="1" customWidth="1"/>
    <col min="7396" max="7397" width="8.6640625" style="86"/>
    <col min="7398" max="7398" width="21.6640625" style="86" customWidth="1"/>
    <col min="7399" max="7399" width="9.44140625" style="86" bestFit="1" customWidth="1"/>
    <col min="7400" max="7642" width="8.6640625" style="86"/>
    <col min="7643" max="7643" width="12.6640625" style="86" customWidth="1"/>
    <col min="7644" max="7644" width="60.33203125" style="86" customWidth="1"/>
    <col min="7645" max="7646" width="12.6640625" style="86" customWidth="1"/>
    <col min="7647" max="7647" width="12.33203125" style="86" bestFit="1" customWidth="1"/>
    <col min="7648" max="7648" width="15.6640625" style="86" customWidth="1"/>
    <col min="7649" max="7649" width="17.6640625" style="86" bestFit="1" customWidth="1"/>
    <col min="7650" max="7650" width="8.6640625" style="86"/>
    <col min="7651" max="7651" width="18" style="86" bestFit="1" customWidth="1"/>
    <col min="7652" max="7653" width="8.6640625" style="86"/>
    <col min="7654" max="7654" width="21.6640625" style="86" customWidth="1"/>
    <col min="7655" max="7655" width="9.44140625" style="86" bestFit="1" customWidth="1"/>
    <col min="7656" max="7898" width="8.6640625" style="86"/>
    <col min="7899" max="7899" width="12.6640625" style="86" customWidth="1"/>
    <col min="7900" max="7900" width="60.33203125" style="86" customWidth="1"/>
    <col min="7901" max="7902" width="12.6640625" style="86" customWidth="1"/>
    <col min="7903" max="7903" width="12.33203125" style="86" bestFit="1" customWidth="1"/>
    <col min="7904" max="7904" width="15.6640625" style="86" customWidth="1"/>
    <col min="7905" max="7905" width="17.6640625" style="86" bestFit="1" customWidth="1"/>
    <col min="7906" max="7906" width="8.6640625" style="86"/>
    <col min="7907" max="7907" width="18" style="86" bestFit="1" customWidth="1"/>
    <col min="7908" max="7909" width="8.6640625" style="86"/>
    <col min="7910" max="7910" width="21.6640625" style="86" customWidth="1"/>
    <col min="7911" max="7911" width="9.44140625" style="86" bestFit="1" customWidth="1"/>
    <col min="7912" max="8154" width="8.6640625" style="86"/>
    <col min="8155" max="8155" width="12.6640625" style="86" customWidth="1"/>
    <col min="8156" max="8156" width="60.33203125" style="86" customWidth="1"/>
    <col min="8157" max="8158" width="12.6640625" style="86" customWidth="1"/>
    <col min="8159" max="8159" width="12.33203125" style="86" bestFit="1" customWidth="1"/>
    <col min="8160" max="8160" width="15.6640625" style="86" customWidth="1"/>
    <col min="8161" max="8161" width="17.6640625" style="86" bestFit="1" customWidth="1"/>
    <col min="8162" max="8162" width="8.6640625" style="86"/>
    <col min="8163" max="8163" width="18" style="86" bestFit="1" customWidth="1"/>
    <col min="8164" max="8165" width="8.6640625" style="86"/>
    <col min="8166" max="8166" width="21.6640625" style="86" customWidth="1"/>
    <col min="8167" max="8167" width="9.44140625" style="86" bestFit="1" customWidth="1"/>
    <col min="8168" max="8410" width="8.6640625" style="86"/>
    <col min="8411" max="8411" width="12.6640625" style="86" customWidth="1"/>
    <col min="8412" max="8412" width="60.33203125" style="86" customWidth="1"/>
    <col min="8413" max="8414" width="12.6640625" style="86" customWidth="1"/>
    <col min="8415" max="8415" width="12.33203125" style="86" bestFit="1" customWidth="1"/>
    <col min="8416" max="8416" width="15.6640625" style="86" customWidth="1"/>
    <col min="8417" max="8417" width="17.6640625" style="86" bestFit="1" customWidth="1"/>
    <col min="8418" max="8418" width="8.6640625" style="86"/>
    <col min="8419" max="8419" width="18" style="86" bestFit="1" customWidth="1"/>
    <col min="8420" max="8421" width="8.6640625" style="86"/>
    <col min="8422" max="8422" width="21.6640625" style="86" customWidth="1"/>
    <col min="8423" max="8423" width="9.44140625" style="86" bestFit="1" customWidth="1"/>
    <col min="8424" max="8666" width="8.6640625" style="86"/>
    <col min="8667" max="8667" width="12.6640625" style="86" customWidth="1"/>
    <col min="8668" max="8668" width="60.33203125" style="86" customWidth="1"/>
    <col min="8669" max="8670" width="12.6640625" style="86" customWidth="1"/>
    <col min="8671" max="8671" width="12.33203125" style="86" bestFit="1" customWidth="1"/>
    <col min="8672" max="8672" width="15.6640625" style="86" customWidth="1"/>
    <col min="8673" max="8673" width="17.6640625" style="86" bestFit="1" customWidth="1"/>
    <col min="8674" max="8674" width="8.6640625" style="86"/>
    <col min="8675" max="8675" width="18" style="86" bestFit="1" customWidth="1"/>
    <col min="8676" max="8677" width="8.6640625" style="86"/>
    <col min="8678" max="8678" width="21.6640625" style="86" customWidth="1"/>
    <col min="8679" max="8679" width="9.44140625" style="86" bestFit="1" customWidth="1"/>
    <col min="8680" max="8922" width="8.6640625" style="86"/>
    <col min="8923" max="8923" width="12.6640625" style="86" customWidth="1"/>
    <col min="8924" max="8924" width="60.33203125" style="86" customWidth="1"/>
    <col min="8925" max="8926" width="12.6640625" style="86" customWidth="1"/>
    <col min="8927" max="8927" width="12.33203125" style="86" bestFit="1" customWidth="1"/>
    <col min="8928" max="8928" width="15.6640625" style="86" customWidth="1"/>
    <col min="8929" max="8929" width="17.6640625" style="86" bestFit="1" customWidth="1"/>
    <col min="8930" max="8930" width="8.6640625" style="86"/>
    <col min="8931" max="8931" width="18" style="86" bestFit="1" customWidth="1"/>
    <col min="8932" max="8933" width="8.6640625" style="86"/>
    <col min="8934" max="8934" width="21.6640625" style="86" customWidth="1"/>
    <col min="8935" max="8935" width="9.44140625" style="86" bestFit="1" customWidth="1"/>
    <col min="8936" max="9178" width="8.6640625" style="86"/>
    <col min="9179" max="9179" width="12.6640625" style="86" customWidth="1"/>
    <col min="9180" max="9180" width="60.33203125" style="86" customWidth="1"/>
    <col min="9181" max="9182" width="12.6640625" style="86" customWidth="1"/>
    <col min="9183" max="9183" width="12.33203125" style="86" bestFit="1" customWidth="1"/>
    <col min="9184" max="9184" width="15.6640625" style="86" customWidth="1"/>
    <col min="9185" max="9185" width="17.6640625" style="86" bestFit="1" customWidth="1"/>
    <col min="9186" max="9186" width="8.6640625" style="86"/>
    <col min="9187" max="9187" width="18" style="86" bestFit="1" customWidth="1"/>
    <col min="9188" max="9189" width="8.6640625" style="86"/>
    <col min="9190" max="9190" width="21.6640625" style="86" customWidth="1"/>
    <col min="9191" max="9191" width="9.44140625" style="86" bestFit="1" customWidth="1"/>
    <col min="9192" max="9434" width="8.6640625" style="86"/>
    <col min="9435" max="9435" width="12.6640625" style="86" customWidth="1"/>
    <col min="9436" max="9436" width="60.33203125" style="86" customWidth="1"/>
    <col min="9437" max="9438" width="12.6640625" style="86" customWidth="1"/>
    <col min="9439" max="9439" width="12.33203125" style="86" bestFit="1" customWidth="1"/>
    <col min="9440" max="9440" width="15.6640625" style="86" customWidth="1"/>
    <col min="9441" max="9441" width="17.6640625" style="86" bestFit="1" customWidth="1"/>
    <col min="9442" max="9442" width="8.6640625" style="86"/>
    <col min="9443" max="9443" width="18" style="86" bestFit="1" customWidth="1"/>
    <col min="9444" max="9445" width="8.6640625" style="86"/>
    <col min="9446" max="9446" width="21.6640625" style="86" customWidth="1"/>
    <col min="9447" max="9447" width="9.44140625" style="86" bestFit="1" customWidth="1"/>
    <col min="9448" max="9690" width="8.6640625" style="86"/>
    <col min="9691" max="9691" width="12.6640625" style="86" customWidth="1"/>
    <col min="9692" max="9692" width="60.33203125" style="86" customWidth="1"/>
    <col min="9693" max="9694" width="12.6640625" style="86" customWidth="1"/>
    <col min="9695" max="9695" width="12.33203125" style="86" bestFit="1" customWidth="1"/>
    <col min="9696" max="9696" width="15.6640625" style="86" customWidth="1"/>
    <col min="9697" max="9697" width="17.6640625" style="86" bestFit="1" customWidth="1"/>
    <col min="9698" max="9698" width="8.6640625" style="86"/>
    <col min="9699" max="9699" width="18" style="86" bestFit="1" customWidth="1"/>
    <col min="9700" max="9701" width="8.6640625" style="86"/>
    <col min="9702" max="9702" width="21.6640625" style="86" customWidth="1"/>
    <col min="9703" max="9703" width="9.44140625" style="86" bestFit="1" customWidth="1"/>
    <col min="9704" max="9946" width="8.6640625" style="86"/>
    <col min="9947" max="9947" width="12.6640625" style="86" customWidth="1"/>
    <col min="9948" max="9948" width="60.33203125" style="86" customWidth="1"/>
    <col min="9949" max="9950" width="12.6640625" style="86" customWidth="1"/>
    <col min="9951" max="9951" width="12.33203125" style="86" bestFit="1" customWidth="1"/>
    <col min="9952" max="9952" width="15.6640625" style="86" customWidth="1"/>
    <col min="9953" max="9953" width="17.6640625" style="86" bestFit="1" customWidth="1"/>
    <col min="9954" max="9954" width="8.6640625" style="86"/>
    <col min="9955" max="9955" width="18" style="86" bestFit="1" customWidth="1"/>
    <col min="9956" max="9957" width="8.6640625" style="86"/>
    <col min="9958" max="9958" width="21.6640625" style="86" customWidth="1"/>
    <col min="9959" max="9959" width="9.44140625" style="86" bestFit="1" customWidth="1"/>
    <col min="9960" max="10202" width="8.6640625" style="86"/>
    <col min="10203" max="10203" width="12.6640625" style="86" customWidth="1"/>
    <col min="10204" max="10204" width="60.33203125" style="86" customWidth="1"/>
    <col min="10205" max="10206" width="12.6640625" style="86" customWidth="1"/>
    <col min="10207" max="10207" width="12.33203125" style="86" bestFit="1" customWidth="1"/>
    <col min="10208" max="10208" width="15.6640625" style="86" customWidth="1"/>
    <col min="10209" max="10209" width="17.6640625" style="86" bestFit="1" customWidth="1"/>
    <col min="10210" max="10210" width="8.6640625" style="86"/>
    <col min="10211" max="10211" width="18" style="86" bestFit="1" customWidth="1"/>
    <col min="10212" max="10213" width="8.6640625" style="86"/>
    <col min="10214" max="10214" width="21.6640625" style="86" customWidth="1"/>
    <col min="10215" max="10215" width="9.44140625" style="86" bestFit="1" customWidth="1"/>
    <col min="10216" max="10458" width="8.6640625" style="86"/>
    <col min="10459" max="10459" width="12.6640625" style="86" customWidth="1"/>
    <col min="10460" max="10460" width="60.33203125" style="86" customWidth="1"/>
    <col min="10461" max="10462" width="12.6640625" style="86" customWidth="1"/>
    <col min="10463" max="10463" width="12.33203125" style="86" bestFit="1" customWidth="1"/>
    <col min="10464" max="10464" width="15.6640625" style="86" customWidth="1"/>
    <col min="10465" max="10465" width="17.6640625" style="86" bestFit="1" customWidth="1"/>
    <col min="10466" max="10466" width="8.6640625" style="86"/>
    <col min="10467" max="10467" width="18" style="86" bestFit="1" customWidth="1"/>
    <col min="10468" max="10469" width="8.6640625" style="86"/>
    <col min="10470" max="10470" width="21.6640625" style="86" customWidth="1"/>
    <col min="10471" max="10471" width="9.44140625" style="86" bestFit="1" customWidth="1"/>
    <col min="10472" max="10714" width="8.6640625" style="86"/>
    <col min="10715" max="10715" width="12.6640625" style="86" customWidth="1"/>
    <col min="10716" max="10716" width="60.33203125" style="86" customWidth="1"/>
    <col min="10717" max="10718" width="12.6640625" style="86" customWidth="1"/>
    <col min="10719" max="10719" width="12.33203125" style="86" bestFit="1" customWidth="1"/>
    <col min="10720" max="10720" width="15.6640625" style="86" customWidth="1"/>
    <col min="10721" max="10721" width="17.6640625" style="86" bestFit="1" customWidth="1"/>
    <col min="10722" max="10722" width="8.6640625" style="86"/>
    <col min="10723" max="10723" width="18" style="86" bestFit="1" customWidth="1"/>
    <col min="10724" max="10725" width="8.6640625" style="86"/>
    <col min="10726" max="10726" width="21.6640625" style="86" customWidth="1"/>
    <col min="10727" max="10727" width="9.44140625" style="86" bestFit="1" customWidth="1"/>
    <col min="10728" max="10970" width="8.6640625" style="86"/>
    <col min="10971" max="10971" width="12.6640625" style="86" customWidth="1"/>
    <col min="10972" max="10972" width="60.33203125" style="86" customWidth="1"/>
    <col min="10973" max="10974" width="12.6640625" style="86" customWidth="1"/>
    <col min="10975" max="10975" width="12.33203125" style="86" bestFit="1" customWidth="1"/>
    <col min="10976" max="10976" width="15.6640625" style="86" customWidth="1"/>
    <col min="10977" max="10977" width="17.6640625" style="86" bestFit="1" customWidth="1"/>
    <col min="10978" max="10978" width="8.6640625" style="86"/>
    <col min="10979" max="10979" width="18" style="86" bestFit="1" customWidth="1"/>
    <col min="10980" max="10981" width="8.6640625" style="86"/>
    <col min="10982" max="10982" width="21.6640625" style="86" customWidth="1"/>
    <col min="10983" max="10983" width="9.44140625" style="86" bestFit="1" customWidth="1"/>
    <col min="10984" max="11226" width="8.6640625" style="86"/>
    <col min="11227" max="11227" width="12.6640625" style="86" customWidth="1"/>
    <col min="11228" max="11228" width="60.33203125" style="86" customWidth="1"/>
    <col min="11229" max="11230" width="12.6640625" style="86" customWidth="1"/>
    <col min="11231" max="11231" width="12.33203125" style="86" bestFit="1" customWidth="1"/>
    <col min="11232" max="11232" width="15.6640625" style="86" customWidth="1"/>
    <col min="11233" max="11233" width="17.6640625" style="86" bestFit="1" customWidth="1"/>
    <col min="11234" max="11234" width="8.6640625" style="86"/>
    <col min="11235" max="11235" width="18" style="86" bestFit="1" customWidth="1"/>
    <col min="11236" max="11237" width="8.6640625" style="86"/>
    <col min="11238" max="11238" width="21.6640625" style="86" customWidth="1"/>
    <col min="11239" max="11239" width="9.44140625" style="86" bestFit="1" customWidth="1"/>
    <col min="11240" max="11482" width="8.6640625" style="86"/>
    <col min="11483" max="11483" width="12.6640625" style="86" customWidth="1"/>
    <col min="11484" max="11484" width="60.33203125" style="86" customWidth="1"/>
    <col min="11485" max="11486" width="12.6640625" style="86" customWidth="1"/>
    <col min="11487" max="11487" width="12.33203125" style="86" bestFit="1" customWidth="1"/>
    <col min="11488" max="11488" width="15.6640625" style="86" customWidth="1"/>
    <col min="11489" max="11489" width="17.6640625" style="86" bestFit="1" customWidth="1"/>
    <col min="11490" max="11490" width="8.6640625" style="86"/>
    <col min="11491" max="11491" width="18" style="86" bestFit="1" customWidth="1"/>
    <col min="11492" max="11493" width="8.6640625" style="86"/>
    <col min="11494" max="11494" width="21.6640625" style="86" customWidth="1"/>
    <col min="11495" max="11495" width="9.44140625" style="86" bestFit="1" customWidth="1"/>
    <col min="11496" max="11738" width="8.6640625" style="86"/>
    <col min="11739" max="11739" width="12.6640625" style="86" customWidth="1"/>
    <col min="11740" max="11740" width="60.33203125" style="86" customWidth="1"/>
    <col min="11741" max="11742" width="12.6640625" style="86" customWidth="1"/>
    <col min="11743" max="11743" width="12.33203125" style="86" bestFit="1" customWidth="1"/>
    <col min="11744" max="11744" width="15.6640625" style="86" customWidth="1"/>
    <col min="11745" max="11745" width="17.6640625" style="86" bestFit="1" customWidth="1"/>
    <col min="11746" max="11746" width="8.6640625" style="86"/>
    <col min="11747" max="11747" width="18" style="86" bestFit="1" customWidth="1"/>
    <col min="11748" max="11749" width="8.6640625" style="86"/>
    <col min="11750" max="11750" width="21.6640625" style="86" customWidth="1"/>
    <col min="11751" max="11751" width="9.44140625" style="86" bestFit="1" customWidth="1"/>
    <col min="11752" max="11994" width="8.6640625" style="86"/>
    <col min="11995" max="11995" width="12.6640625" style="86" customWidth="1"/>
    <col min="11996" max="11996" width="60.33203125" style="86" customWidth="1"/>
    <col min="11997" max="11998" width="12.6640625" style="86" customWidth="1"/>
    <col min="11999" max="11999" width="12.33203125" style="86" bestFit="1" customWidth="1"/>
    <col min="12000" max="12000" width="15.6640625" style="86" customWidth="1"/>
    <col min="12001" max="12001" width="17.6640625" style="86" bestFit="1" customWidth="1"/>
    <col min="12002" max="12002" width="8.6640625" style="86"/>
    <col min="12003" max="12003" width="18" style="86" bestFit="1" customWidth="1"/>
    <col min="12004" max="12005" width="8.6640625" style="86"/>
    <col min="12006" max="12006" width="21.6640625" style="86" customWidth="1"/>
    <col min="12007" max="12007" width="9.44140625" style="86" bestFit="1" customWidth="1"/>
    <col min="12008" max="12250" width="8.6640625" style="86"/>
    <col min="12251" max="12251" width="12.6640625" style="86" customWidth="1"/>
    <col min="12252" max="12252" width="60.33203125" style="86" customWidth="1"/>
    <col min="12253" max="12254" width="12.6640625" style="86" customWidth="1"/>
    <col min="12255" max="12255" width="12.33203125" style="86" bestFit="1" customWidth="1"/>
    <col min="12256" max="12256" width="15.6640625" style="86" customWidth="1"/>
    <col min="12257" max="12257" width="17.6640625" style="86" bestFit="1" customWidth="1"/>
    <col min="12258" max="12258" width="8.6640625" style="86"/>
    <col min="12259" max="12259" width="18" style="86" bestFit="1" customWidth="1"/>
    <col min="12260" max="12261" width="8.6640625" style="86"/>
    <col min="12262" max="12262" width="21.6640625" style="86" customWidth="1"/>
    <col min="12263" max="12263" width="9.44140625" style="86" bestFit="1" customWidth="1"/>
    <col min="12264" max="12506" width="8.6640625" style="86"/>
    <col min="12507" max="12507" width="12.6640625" style="86" customWidth="1"/>
    <col min="12508" max="12508" width="60.33203125" style="86" customWidth="1"/>
    <col min="12509" max="12510" width="12.6640625" style="86" customWidth="1"/>
    <col min="12511" max="12511" width="12.33203125" style="86" bestFit="1" customWidth="1"/>
    <col min="12512" max="12512" width="15.6640625" style="86" customWidth="1"/>
    <col min="12513" max="12513" width="17.6640625" style="86" bestFit="1" customWidth="1"/>
    <col min="12514" max="12514" width="8.6640625" style="86"/>
    <col min="12515" max="12515" width="18" style="86" bestFit="1" customWidth="1"/>
    <col min="12516" max="12517" width="8.6640625" style="86"/>
    <col min="12518" max="12518" width="21.6640625" style="86" customWidth="1"/>
    <col min="12519" max="12519" width="9.44140625" style="86" bestFit="1" customWidth="1"/>
    <col min="12520" max="12762" width="8.6640625" style="86"/>
    <col min="12763" max="12763" width="12.6640625" style="86" customWidth="1"/>
    <col min="12764" max="12764" width="60.33203125" style="86" customWidth="1"/>
    <col min="12765" max="12766" width="12.6640625" style="86" customWidth="1"/>
    <col min="12767" max="12767" width="12.33203125" style="86" bestFit="1" customWidth="1"/>
    <col min="12768" max="12768" width="15.6640625" style="86" customWidth="1"/>
    <col min="12769" max="12769" width="17.6640625" style="86" bestFit="1" customWidth="1"/>
    <col min="12770" max="12770" width="8.6640625" style="86"/>
    <col min="12771" max="12771" width="18" style="86" bestFit="1" customWidth="1"/>
    <col min="12772" max="12773" width="8.6640625" style="86"/>
    <col min="12774" max="12774" width="21.6640625" style="86" customWidth="1"/>
    <col min="12775" max="12775" width="9.44140625" style="86" bestFit="1" customWidth="1"/>
    <col min="12776" max="13018" width="8.6640625" style="86"/>
    <col min="13019" max="13019" width="12.6640625" style="86" customWidth="1"/>
    <col min="13020" max="13020" width="60.33203125" style="86" customWidth="1"/>
    <col min="13021" max="13022" width="12.6640625" style="86" customWidth="1"/>
    <col min="13023" max="13023" width="12.33203125" style="86" bestFit="1" customWidth="1"/>
    <col min="13024" max="13024" width="15.6640625" style="86" customWidth="1"/>
    <col min="13025" max="13025" width="17.6640625" style="86" bestFit="1" customWidth="1"/>
    <col min="13026" max="13026" width="8.6640625" style="86"/>
    <col min="13027" max="13027" width="18" style="86" bestFit="1" customWidth="1"/>
    <col min="13028" max="13029" width="8.6640625" style="86"/>
    <col min="13030" max="13030" width="21.6640625" style="86" customWidth="1"/>
    <col min="13031" max="13031" width="9.44140625" style="86" bestFit="1" customWidth="1"/>
    <col min="13032" max="13274" width="8.6640625" style="86"/>
    <col min="13275" max="13275" width="12.6640625" style="86" customWidth="1"/>
    <col min="13276" max="13276" width="60.33203125" style="86" customWidth="1"/>
    <col min="13277" max="13278" width="12.6640625" style="86" customWidth="1"/>
    <col min="13279" max="13279" width="12.33203125" style="86" bestFit="1" customWidth="1"/>
    <col min="13280" max="13280" width="15.6640625" style="86" customWidth="1"/>
    <col min="13281" max="13281" width="17.6640625" style="86" bestFit="1" customWidth="1"/>
    <col min="13282" max="13282" width="8.6640625" style="86"/>
    <col min="13283" max="13283" width="18" style="86" bestFit="1" customWidth="1"/>
    <col min="13284" max="13285" width="8.6640625" style="86"/>
    <col min="13286" max="13286" width="21.6640625" style="86" customWidth="1"/>
    <col min="13287" max="13287" width="9.44140625" style="86" bestFit="1" customWidth="1"/>
    <col min="13288" max="13530" width="8.6640625" style="86"/>
    <col min="13531" max="13531" width="12.6640625" style="86" customWidth="1"/>
    <col min="13532" max="13532" width="60.33203125" style="86" customWidth="1"/>
    <col min="13533" max="13534" width="12.6640625" style="86" customWidth="1"/>
    <col min="13535" max="13535" width="12.33203125" style="86" bestFit="1" customWidth="1"/>
    <col min="13536" max="13536" width="15.6640625" style="86" customWidth="1"/>
    <col min="13537" max="13537" width="17.6640625" style="86" bestFit="1" customWidth="1"/>
    <col min="13538" max="13538" width="8.6640625" style="86"/>
    <col min="13539" max="13539" width="18" style="86" bestFit="1" customWidth="1"/>
    <col min="13540" max="13541" width="8.6640625" style="86"/>
    <col min="13542" max="13542" width="21.6640625" style="86" customWidth="1"/>
    <col min="13543" max="13543" width="9.44140625" style="86" bestFit="1" customWidth="1"/>
    <col min="13544" max="13786" width="8.6640625" style="86"/>
    <col min="13787" max="13787" width="12.6640625" style="86" customWidth="1"/>
    <col min="13788" max="13788" width="60.33203125" style="86" customWidth="1"/>
    <col min="13789" max="13790" width="12.6640625" style="86" customWidth="1"/>
    <col min="13791" max="13791" width="12.33203125" style="86" bestFit="1" customWidth="1"/>
    <col min="13792" max="13792" width="15.6640625" style="86" customWidth="1"/>
    <col min="13793" max="13793" width="17.6640625" style="86" bestFit="1" customWidth="1"/>
    <col min="13794" max="13794" width="8.6640625" style="86"/>
    <col min="13795" max="13795" width="18" style="86" bestFit="1" customWidth="1"/>
    <col min="13796" max="13797" width="8.6640625" style="86"/>
    <col min="13798" max="13798" width="21.6640625" style="86" customWidth="1"/>
    <col min="13799" max="13799" width="9.44140625" style="86" bestFit="1" customWidth="1"/>
    <col min="13800" max="14042" width="8.6640625" style="86"/>
    <col min="14043" max="14043" width="12.6640625" style="86" customWidth="1"/>
    <col min="14044" max="14044" width="60.33203125" style="86" customWidth="1"/>
    <col min="14045" max="14046" width="12.6640625" style="86" customWidth="1"/>
    <col min="14047" max="14047" width="12.33203125" style="86" bestFit="1" customWidth="1"/>
    <col min="14048" max="14048" width="15.6640625" style="86" customWidth="1"/>
    <col min="14049" max="14049" width="17.6640625" style="86" bestFit="1" customWidth="1"/>
    <col min="14050" max="14050" width="8.6640625" style="86"/>
    <col min="14051" max="14051" width="18" style="86" bestFit="1" customWidth="1"/>
    <col min="14052" max="14053" width="8.6640625" style="86"/>
    <col min="14054" max="14054" width="21.6640625" style="86" customWidth="1"/>
    <col min="14055" max="14055" width="9.44140625" style="86" bestFit="1" customWidth="1"/>
    <col min="14056" max="14298" width="8.6640625" style="86"/>
    <col min="14299" max="14299" width="12.6640625" style="86" customWidth="1"/>
    <col min="14300" max="14300" width="60.33203125" style="86" customWidth="1"/>
    <col min="14301" max="14302" width="12.6640625" style="86" customWidth="1"/>
    <col min="14303" max="14303" width="12.33203125" style="86" bestFit="1" customWidth="1"/>
    <col min="14304" max="14304" width="15.6640625" style="86" customWidth="1"/>
    <col min="14305" max="14305" width="17.6640625" style="86" bestFit="1" customWidth="1"/>
    <col min="14306" max="14306" width="8.6640625" style="86"/>
    <col min="14307" max="14307" width="18" style="86" bestFit="1" customWidth="1"/>
    <col min="14308" max="14309" width="8.6640625" style="86"/>
    <col min="14310" max="14310" width="21.6640625" style="86" customWidth="1"/>
    <col min="14311" max="14311" width="9.44140625" style="86" bestFit="1" customWidth="1"/>
    <col min="14312" max="14554" width="8.6640625" style="86"/>
    <col min="14555" max="14555" width="12.6640625" style="86" customWidth="1"/>
    <col min="14556" max="14556" width="60.33203125" style="86" customWidth="1"/>
    <col min="14557" max="14558" width="12.6640625" style="86" customWidth="1"/>
    <col min="14559" max="14559" width="12.33203125" style="86" bestFit="1" customWidth="1"/>
    <col min="14560" max="14560" width="15.6640625" style="86" customWidth="1"/>
    <col min="14561" max="14561" width="17.6640625" style="86" bestFit="1" customWidth="1"/>
    <col min="14562" max="14562" width="8.6640625" style="86"/>
    <col min="14563" max="14563" width="18" style="86" bestFit="1" customWidth="1"/>
    <col min="14564" max="14565" width="8.6640625" style="86"/>
    <col min="14566" max="14566" width="21.6640625" style="86" customWidth="1"/>
    <col min="14567" max="14567" width="9.44140625" style="86" bestFit="1" customWidth="1"/>
    <col min="14568" max="14810" width="8.6640625" style="86"/>
    <col min="14811" max="14811" width="12.6640625" style="86" customWidth="1"/>
    <col min="14812" max="14812" width="60.33203125" style="86" customWidth="1"/>
    <col min="14813" max="14814" width="12.6640625" style="86" customWidth="1"/>
    <col min="14815" max="14815" width="12.33203125" style="86" bestFit="1" customWidth="1"/>
    <col min="14816" max="14816" width="15.6640625" style="86" customWidth="1"/>
    <col min="14817" max="14817" width="17.6640625" style="86" bestFit="1" customWidth="1"/>
    <col min="14818" max="14818" width="8.6640625" style="86"/>
    <col min="14819" max="14819" width="18" style="86" bestFit="1" customWidth="1"/>
    <col min="14820" max="14821" width="8.6640625" style="86"/>
    <col min="14822" max="14822" width="21.6640625" style="86" customWidth="1"/>
    <col min="14823" max="14823" width="9.44140625" style="86" bestFit="1" customWidth="1"/>
    <col min="14824" max="15066" width="8.6640625" style="86"/>
    <col min="15067" max="15067" width="12.6640625" style="86" customWidth="1"/>
    <col min="15068" max="15068" width="60.33203125" style="86" customWidth="1"/>
    <col min="15069" max="15070" width="12.6640625" style="86" customWidth="1"/>
    <col min="15071" max="15071" width="12.33203125" style="86" bestFit="1" customWidth="1"/>
    <col min="15072" max="15072" width="15.6640625" style="86" customWidth="1"/>
    <col min="15073" max="15073" width="17.6640625" style="86" bestFit="1" customWidth="1"/>
    <col min="15074" max="15074" width="8.6640625" style="86"/>
    <col min="15075" max="15075" width="18" style="86" bestFit="1" customWidth="1"/>
    <col min="15076" max="15077" width="8.6640625" style="86"/>
    <col min="15078" max="15078" width="21.6640625" style="86" customWidth="1"/>
    <col min="15079" max="15079" width="9.44140625" style="86" bestFit="1" customWidth="1"/>
    <col min="15080" max="15322" width="8.6640625" style="86"/>
    <col min="15323" max="15323" width="12.6640625" style="86" customWidth="1"/>
    <col min="15324" max="15324" width="60.33203125" style="86" customWidth="1"/>
    <col min="15325" max="15326" width="12.6640625" style="86" customWidth="1"/>
    <col min="15327" max="15327" width="12.33203125" style="86" bestFit="1" customWidth="1"/>
    <col min="15328" max="15328" width="15.6640625" style="86" customWidth="1"/>
    <col min="15329" max="15329" width="17.6640625" style="86" bestFit="1" customWidth="1"/>
    <col min="15330" max="15330" width="8.6640625" style="86"/>
    <col min="15331" max="15331" width="18" style="86" bestFit="1" customWidth="1"/>
    <col min="15332" max="15333" width="8.6640625" style="86"/>
    <col min="15334" max="15334" width="21.6640625" style="86" customWidth="1"/>
    <col min="15335" max="15335" width="9.44140625" style="86" bestFit="1" customWidth="1"/>
    <col min="15336" max="15578" width="8.6640625" style="86"/>
    <col min="15579" max="15579" width="12.6640625" style="86" customWidth="1"/>
    <col min="15580" max="15580" width="60.33203125" style="86" customWidth="1"/>
    <col min="15581" max="15582" width="12.6640625" style="86" customWidth="1"/>
    <col min="15583" max="15583" width="12.33203125" style="86" bestFit="1" customWidth="1"/>
    <col min="15584" max="15584" width="15.6640625" style="86" customWidth="1"/>
    <col min="15585" max="15585" width="17.6640625" style="86" bestFit="1" customWidth="1"/>
    <col min="15586" max="15586" width="8.6640625" style="86"/>
    <col min="15587" max="15587" width="18" style="86" bestFit="1" customWidth="1"/>
    <col min="15588" max="15589" width="8.6640625" style="86"/>
    <col min="15590" max="15590" width="21.6640625" style="86" customWidth="1"/>
    <col min="15591" max="15591" width="9.44140625" style="86" bestFit="1" customWidth="1"/>
    <col min="15592" max="15834" width="8.6640625" style="86"/>
    <col min="15835" max="15835" width="12.6640625" style="86" customWidth="1"/>
    <col min="15836" max="15836" width="60.33203125" style="86" customWidth="1"/>
    <col min="15837" max="15838" width="12.6640625" style="86" customWidth="1"/>
    <col min="15839" max="15839" width="12.33203125" style="86" bestFit="1" customWidth="1"/>
    <col min="15840" max="15840" width="15.6640625" style="86" customWidth="1"/>
    <col min="15841" max="15841" width="17.6640625" style="86" bestFit="1" customWidth="1"/>
    <col min="15842" max="15842" width="8.6640625" style="86"/>
    <col min="15843" max="15843" width="18" style="86" bestFit="1" customWidth="1"/>
    <col min="15844" max="15845" width="8.6640625" style="86"/>
    <col min="15846" max="15846" width="21.6640625" style="86" customWidth="1"/>
    <col min="15847" max="15847" width="9.44140625" style="86" bestFit="1" customWidth="1"/>
    <col min="15848" max="16090" width="8.6640625" style="86"/>
    <col min="16091" max="16091" width="12.6640625" style="86" customWidth="1"/>
    <col min="16092" max="16092" width="60.33203125" style="86" customWidth="1"/>
    <col min="16093" max="16094" width="12.6640625" style="86" customWidth="1"/>
    <col min="16095" max="16095" width="12.33203125" style="86" bestFit="1" customWidth="1"/>
    <col min="16096" max="16096" width="15.6640625" style="86" customWidth="1"/>
    <col min="16097" max="16097" width="17.6640625" style="86" bestFit="1" customWidth="1"/>
    <col min="16098" max="16098" width="8.6640625" style="86"/>
    <col min="16099" max="16099" width="18" style="86" bestFit="1" customWidth="1"/>
    <col min="16100" max="16101" width="8.6640625" style="86"/>
    <col min="16102" max="16102" width="21.6640625" style="86" customWidth="1"/>
    <col min="16103" max="16103" width="9.44140625" style="86" bestFit="1" customWidth="1"/>
    <col min="16104" max="16384" width="8.6640625" style="86"/>
  </cols>
  <sheetData>
    <row r="1" spans="1:13" ht="14.4" thickBot="1">
      <c r="A1" s="337" t="s">
        <v>39</v>
      </c>
      <c r="B1" s="338"/>
      <c r="C1" s="339"/>
      <c r="D1" s="339"/>
      <c r="E1" s="339"/>
      <c r="F1" s="85"/>
    </row>
    <row r="2" spans="1:13" ht="19.95" customHeight="1">
      <c r="A2" s="87"/>
      <c r="B2" s="88"/>
      <c r="C2" s="88"/>
      <c r="D2" s="88"/>
      <c r="E2" s="89"/>
    </row>
    <row r="3" spans="1:13" ht="19.95" customHeight="1">
      <c r="A3" s="87" t="s">
        <v>310</v>
      </c>
      <c r="B3" s="88"/>
      <c r="C3" s="88"/>
      <c r="D3" s="88"/>
      <c r="E3" s="89"/>
    </row>
    <row r="4" spans="1:13" ht="19.95" customHeight="1" thickBot="1">
      <c r="A4" s="224"/>
      <c r="B4" s="224"/>
      <c r="C4" s="224"/>
      <c r="D4" s="224"/>
      <c r="E4" s="224"/>
      <c r="F4" s="224"/>
      <c r="L4" s="86" t="s">
        <v>76</v>
      </c>
      <c r="M4" s="86" t="s">
        <v>279</v>
      </c>
    </row>
    <row r="5" spans="1:13" ht="31.5" customHeight="1">
      <c r="A5" s="292" t="str">
        <f>"Produto "&amp;L5</f>
        <v>Produto 15</v>
      </c>
      <c r="B5" s="333" t="str">
        <f>M5</f>
        <v>Adequação de estudos e documentos de viabilidade técnica, ambiental, econômica e jurídica, com justificativas das alterações da BR-381/262/MG/ES</v>
      </c>
      <c r="C5" s="333"/>
      <c r="D5" s="333"/>
      <c r="E5" s="333"/>
      <c r="F5" s="334"/>
      <c r="L5" s="86">
        <v>15</v>
      </c>
      <c r="M5" s="86" t="s">
        <v>289</v>
      </c>
    </row>
    <row r="6" spans="1:13" ht="19.95" customHeight="1">
      <c r="A6" s="91" t="s">
        <v>3</v>
      </c>
      <c r="B6" s="92" t="s">
        <v>5</v>
      </c>
      <c r="C6" s="92" t="s">
        <v>6</v>
      </c>
      <c r="D6" s="92" t="s">
        <v>7</v>
      </c>
      <c r="E6" s="92" t="s">
        <v>40</v>
      </c>
      <c r="F6" s="93" t="s">
        <v>41</v>
      </c>
      <c r="L6" s="86">
        <v>16</v>
      </c>
      <c r="M6" s="86" t="s">
        <v>290</v>
      </c>
    </row>
    <row r="7" spans="1:13">
      <c r="A7" s="297" t="str">
        <f>"valor mês "&amp;A5</f>
        <v>valor mês Produto 15</v>
      </c>
      <c r="B7" s="237" t="str">
        <f>B5</f>
        <v>Adequação de estudos e documentos de viabilidade técnica, ambiental, econômica e jurídica, com justificativas das alterações da BR-381/262/MG/ES</v>
      </c>
      <c r="C7" s="38"/>
      <c r="D7" s="243"/>
      <c r="E7" s="42"/>
      <c r="F7" s="238">
        <f>F8+F21+F26</f>
        <v>23411.651655792622</v>
      </c>
      <c r="L7" s="86">
        <v>17</v>
      </c>
      <c r="M7" s="86" t="s">
        <v>280</v>
      </c>
    </row>
    <row r="8" spans="1:13">
      <c r="A8" s="242">
        <v>1</v>
      </c>
      <c r="B8" s="237" t="s">
        <v>45</v>
      </c>
      <c r="C8" s="38"/>
      <c r="D8" s="243"/>
      <c r="E8" s="42"/>
      <c r="F8" s="238">
        <f>SUM(F9:F20)</f>
        <v>12190.202603618334</v>
      </c>
      <c r="L8" s="86">
        <v>18</v>
      </c>
      <c r="M8" s="86" t="s">
        <v>291</v>
      </c>
    </row>
    <row r="9" spans="1:13">
      <c r="A9" s="96"/>
      <c r="B9" s="239" t="s">
        <v>55</v>
      </c>
      <c r="C9" s="38" t="s">
        <v>46</v>
      </c>
      <c r="D9" s="251">
        <f>HLOOKUP(B9,'Estimativa de horas por produto'!$F$33:$P$85,34,0)</f>
        <v>23.466666666666665</v>
      </c>
      <c r="E9" s="148">
        <f>VLOOKUP(B9,'Custo mao de obra Dnit'!A:AB,28,0)</f>
        <v>49.84170454545454</v>
      </c>
      <c r="F9" s="236">
        <f>D9*E9</f>
        <v>1169.6186666666665</v>
      </c>
      <c r="G9" s="281"/>
      <c r="L9" s="86">
        <v>19</v>
      </c>
      <c r="M9" s="86" t="s">
        <v>292</v>
      </c>
    </row>
    <row r="10" spans="1:13">
      <c r="A10" s="96"/>
      <c r="B10" s="239" t="s">
        <v>56</v>
      </c>
      <c r="C10" s="38" t="s">
        <v>46</v>
      </c>
      <c r="D10" s="251">
        <f>HLOOKUP(B10,'Estimativa de horas por produto'!$F$33:$P$85,34,0)</f>
        <v>11.733333333333333</v>
      </c>
      <c r="E10" s="148">
        <f>VLOOKUP(B10,'Custo mao de obra Dnit'!A:AB,28,0)</f>
        <v>65.018465909090907</v>
      </c>
      <c r="F10" s="236">
        <f t="shared" ref="F10:F19" si="0">D10*E10</f>
        <v>762.88333333333321</v>
      </c>
      <c r="G10" s="281"/>
    </row>
    <row r="11" spans="1:13">
      <c r="A11" s="96"/>
      <c r="B11" s="239" t="s">
        <v>57</v>
      </c>
      <c r="C11" s="38" t="s">
        <v>46</v>
      </c>
      <c r="D11" s="251">
        <f>HLOOKUP(B11,'Estimativa de horas por produto'!$F$33:$P$85,34,0)</f>
        <v>11.733333333333333</v>
      </c>
      <c r="E11" s="148">
        <f>VLOOKUP(B11,'Custo mao de obra Dnit'!A:AB,28,0)</f>
        <v>75.596358262926245</v>
      </c>
      <c r="F11" s="236">
        <f t="shared" si="0"/>
        <v>886.99727028500126</v>
      </c>
      <c r="G11" s="281"/>
    </row>
    <row r="12" spans="1:13">
      <c r="A12" s="96"/>
      <c r="B12" s="239" t="s">
        <v>58</v>
      </c>
      <c r="C12" s="38" t="s">
        <v>46</v>
      </c>
      <c r="D12" s="251">
        <f>HLOOKUP(B12,'Estimativa de horas por produto'!$F$33:$P$85,34,0)</f>
        <v>17.600000000000001</v>
      </c>
      <c r="E12" s="148">
        <f>VLOOKUP(B12,'Custo mao de obra Dnit'!A:AB,28,0)</f>
        <v>53.100624999999994</v>
      </c>
      <c r="F12" s="236">
        <f t="shared" si="0"/>
        <v>934.57099999999991</v>
      </c>
      <c r="G12" s="281"/>
    </row>
    <row r="13" spans="1:13">
      <c r="A13" s="96"/>
      <c r="B13" s="239" t="s">
        <v>59</v>
      </c>
      <c r="C13" s="38" t="s">
        <v>46</v>
      </c>
      <c r="D13" s="251">
        <f>HLOOKUP(B13,'Estimativa de horas por produto'!$F$33:$P$85,34,0)</f>
        <v>11.733333333333333</v>
      </c>
      <c r="E13" s="148">
        <f>VLOOKUP(B13,'Custo mao de obra Dnit'!A:AB,28,0)</f>
        <v>121.47482954545454</v>
      </c>
      <c r="F13" s="236">
        <f t="shared" si="0"/>
        <v>1425.3046666666664</v>
      </c>
      <c r="G13" s="281"/>
    </row>
    <row r="14" spans="1:13">
      <c r="A14" s="96"/>
      <c r="B14" s="239" t="s">
        <v>60</v>
      </c>
      <c r="C14" s="38" t="s">
        <v>46</v>
      </c>
      <c r="D14" s="251">
        <f>HLOOKUP(B14,'Estimativa de horas por produto'!$F$33:$P$85,34,0)</f>
        <v>5.8666666666666663</v>
      </c>
      <c r="E14" s="148">
        <f>VLOOKUP(B14,'Custo mao de obra Dnit'!A:AB,28,0)</f>
        <v>45.856761363636366</v>
      </c>
      <c r="F14" s="236">
        <f t="shared" si="0"/>
        <v>269.02633333333335</v>
      </c>
      <c r="G14" s="281"/>
    </row>
    <row r="15" spans="1:13">
      <c r="A15" s="96"/>
      <c r="B15" s="239" t="s">
        <v>61</v>
      </c>
      <c r="C15" s="38" t="s">
        <v>46</v>
      </c>
      <c r="D15" s="251">
        <f>HLOOKUP(B15,'Estimativa de horas por produto'!$F$33:$P$85,34,0)</f>
        <v>1.9555555555555553</v>
      </c>
      <c r="E15" s="148">
        <f>VLOOKUP(B15,'Custo mao de obra Dnit'!A:AB,28,0)</f>
        <v>95.24392045454546</v>
      </c>
      <c r="F15" s="236">
        <f t="shared" si="0"/>
        <v>186.25477777777778</v>
      </c>
      <c r="G15" s="281"/>
    </row>
    <row r="16" spans="1:13">
      <c r="A16" s="96"/>
      <c r="B16" s="239" t="s">
        <v>62</v>
      </c>
      <c r="C16" s="38" t="s">
        <v>46</v>
      </c>
      <c r="D16" s="251">
        <f>HLOOKUP(B16,'Estimativa de horas por produto'!$F$33:$P$85,34,0)</f>
        <v>5.8666666666666663</v>
      </c>
      <c r="E16" s="148">
        <f>VLOOKUP(B16,'Custo mao de obra Dnit'!A:AB,28,0)</f>
        <v>95.230852272727276</v>
      </c>
      <c r="F16" s="236">
        <f t="shared" si="0"/>
        <v>558.6876666666667</v>
      </c>
      <c r="G16" s="281"/>
    </row>
    <row r="17" spans="1:7">
      <c r="A17" s="96"/>
      <c r="B17" s="239" t="s">
        <v>63</v>
      </c>
      <c r="C17" s="38" t="s">
        <v>46</v>
      </c>
      <c r="D17" s="251">
        <f>HLOOKUP(B17,'Estimativa de horas por produto'!$F$33:$P$85,34,0)</f>
        <v>5.8666666666666663</v>
      </c>
      <c r="E17" s="148">
        <f>VLOOKUP(B17,'Custo mao de obra Dnit'!A:AB,28,0)</f>
        <v>107.9440909090909</v>
      </c>
      <c r="F17" s="236">
        <f t="shared" si="0"/>
        <v>633.27199999999993</v>
      </c>
      <c r="G17" s="281"/>
    </row>
    <row r="18" spans="1:7">
      <c r="A18" s="96"/>
      <c r="B18" s="239" t="s">
        <v>64</v>
      </c>
      <c r="C18" s="38" t="s">
        <v>46</v>
      </c>
      <c r="D18" s="251">
        <f>HLOOKUP(B18,'Estimativa de horas por produto'!$F$33:$P$85,34,0)</f>
        <v>43.022222222222226</v>
      </c>
      <c r="E18" s="148">
        <f>VLOOKUP(B18,'Custo mao de obra Dnit'!A:AB,28,0)</f>
        <v>95.230852272727276</v>
      </c>
      <c r="F18" s="236">
        <f t="shared" si="0"/>
        <v>4097.0428888888891</v>
      </c>
      <c r="G18" s="281"/>
    </row>
    <row r="19" spans="1:7">
      <c r="A19" s="96"/>
      <c r="B19" s="239" t="s">
        <v>65</v>
      </c>
      <c r="C19" s="38" t="s">
        <v>46</v>
      </c>
      <c r="D19" s="251">
        <f>HLOOKUP(B19,'Estimativa de horas por produto'!$F$33:$P$85,34,0)</f>
        <v>11.733333333333333</v>
      </c>
      <c r="E19" s="148">
        <f>VLOOKUP(B19,'Custo mao de obra Dnit'!A:AB,28,0)</f>
        <v>107.9440909090909</v>
      </c>
      <c r="F19" s="236">
        <f t="shared" si="0"/>
        <v>1266.5439999999999</v>
      </c>
      <c r="G19" s="281"/>
    </row>
    <row r="20" spans="1:7">
      <c r="A20" s="96"/>
      <c r="B20" s="239"/>
      <c r="C20" s="38"/>
      <c r="D20" s="251"/>
      <c r="E20" s="148"/>
      <c r="F20" s="236"/>
    </row>
    <row r="21" spans="1:7">
      <c r="A21" s="242">
        <v>2</v>
      </c>
      <c r="B21" s="237" t="s">
        <v>201</v>
      </c>
      <c r="C21" s="245"/>
      <c r="D21" s="243"/>
      <c r="E21" s="45"/>
      <c r="F21" s="238">
        <f>SUM(F22:F24)</f>
        <v>5311.2712743965085</v>
      </c>
    </row>
    <row r="22" spans="1:7" s="101" customFormat="1" ht="13.8">
      <c r="A22" s="234"/>
      <c r="B22" s="239" t="s">
        <v>223</v>
      </c>
      <c r="C22" s="240" t="s">
        <v>19</v>
      </c>
      <c r="D22" s="244">
        <f>$F$8</f>
        <v>12190.202603618334</v>
      </c>
      <c r="E22" s="252">
        <f>'Custos diversos e BDI - DNIT'!$D$30/100</f>
        <v>0.11110000000000002</v>
      </c>
      <c r="F22" s="236">
        <f>D22*E22</f>
        <v>1354.3315092619971</v>
      </c>
    </row>
    <row r="23" spans="1:7" s="101" customFormat="1" ht="13.8">
      <c r="A23" s="234"/>
      <c r="B23" s="239" t="s">
        <v>224</v>
      </c>
      <c r="C23" s="240" t="s">
        <v>19</v>
      </c>
      <c r="D23" s="244">
        <f t="shared" ref="D23:D24" si="1">$F$8</f>
        <v>12190.202603618334</v>
      </c>
      <c r="E23" s="252">
        <f>'Custos diversos e BDI - DNIT'!$D$33/100</f>
        <v>0.12</v>
      </c>
      <c r="F23" s="236">
        <f t="shared" ref="F23:F24" si="2">D23*E23</f>
        <v>1462.8243124342</v>
      </c>
    </row>
    <row r="24" spans="1:7" s="101" customFormat="1" ht="13.8">
      <c r="A24" s="234"/>
      <c r="B24" s="239" t="s">
        <v>225</v>
      </c>
      <c r="C24" s="240" t="s">
        <v>19</v>
      </c>
      <c r="D24" s="244">
        <f t="shared" si="1"/>
        <v>12190.202603618334</v>
      </c>
      <c r="E24" s="252">
        <f>'Custos diversos e BDI - DNIT'!$D$38/100</f>
        <v>0.2046</v>
      </c>
      <c r="F24" s="236">
        <f t="shared" si="2"/>
        <v>2494.1154527003114</v>
      </c>
    </row>
    <row r="25" spans="1:7" s="101" customFormat="1" ht="13.8">
      <c r="A25" s="234"/>
      <c r="B25" s="239"/>
      <c r="C25" s="49"/>
      <c r="D25" s="244"/>
      <c r="E25" s="252"/>
      <c r="F25" s="236"/>
    </row>
    <row r="26" spans="1:7" s="101" customFormat="1" ht="13.8">
      <c r="A26" s="102" t="s">
        <v>47</v>
      </c>
      <c r="B26" s="103" t="s">
        <v>10</v>
      </c>
      <c r="C26" s="104" t="s">
        <v>46</v>
      </c>
      <c r="D26" s="105">
        <f>SUM(D9:D19)</f>
        <v>150.57777777777775</v>
      </c>
      <c r="E26" s="150">
        <f>'Custo Gerencial'!$G$48</f>
        <v>39.25</v>
      </c>
      <c r="F26" s="106">
        <f>D26*E26</f>
        <v>5910.177777777777</v>
      </c>
    </row>
    <row r="27" spans="1:7" s="101" customFormat="1" ht="13.8">
      <c r="A27" s="234"/>
      <c r="B27" s="239"/>
      <c r="C27" s="49"/>
      <c r="D27" s="244"/>
      <c r="E27" s="246"/>
      <c r="F27" s="236"/>
    </row>
    <row r="28" spans="1:7" s="101" customFormat="1" ht="19.95" customHeight="1" thickBot="1">
      <c r="A28" s="107"/>
      <c r="B28" s="247" t="s">
        <v>73</v>
      </c>
      <c r="C28" s="109" t="s">
        <v>21</v>
      </c>
      <c r="D28" s="110">
        <v>1</v>
      </c>
      <c r="E28" s="223">
        <f>F7</f>
        <v>23411.651655792622</v>
      </c>
      <c r="F28" s="112">
        <f>E28*D28</f>
        <v>23411.651655792622</v>
      </c>
    </row>
    <row r="29" spans="1:7" ht="19.95" customHeight="1">
      <c r="A29" s="224"/>
      <c r="B29" s="224"/>
      <c r="C29" s="224"/>
      <c r="D29" s="224"/>
      <c r="E29" s="224"/>
      <c r="F29" s="224"/>
    </row>
    <row r="30" spans="1:7" ht="13.8" thickBot="1"/>
    <row r="31" spans="1:7" ht="32.25" customHeight="1">
      <c r="A31" s="292" t="str">
        <f>"Produto "&amp;L6</f>
        <v>Produto 16</v>
      </c>
      <c r="B31" s="333" t="str">
        <f>M6</f>
        <v>Adequação de estudos e documentos de viabilidade técnica, ambiental, econômica e jurídica, com justificativas das alterações da BR-116/101/SP/RJ (Dutra)</v>
      </c>
      <c r="C31" s="333"/>
      <c r="D31" s="333"/>
      <c r="E31" s="333"/>
      <c r="F31" s="334"/>
    </row>
    <row r="32" spans="1:7">
      <c r="A32" s="91" t="s">
        <v>3</v>
      </c>
      <c r="B32" s="92" t="s">
        <v>5</v>
      </c>
      <c r="C32" s="92" t="s">
        <v>6</v>
      </c>
      <c r="D32" s="92" t="s">
        <v>7</v>
      </c>
      <c r="E32" s="92" t="s">
        <v>40</v>
      </c>
      <c r="F32" s="93" t="s">
        <v>41</v>
      </c>
    </row>
    <row r="33" spans="1:6">
      <c r="A33" s="297" t="str">
        <f>"valor mês "&amp;A31</f>
        <v>valor mês Produto 16</v>
      </c>
      <c r="B33" s="237" t="str">
        <f>B31</f>
        <v>Adequação de estudos e documentos de viabilidade técnica, ambiental, econômica e jurídica, com justificativas das alterações da BR-116/101/SP/RJ (Dutra)</v>
      </c>
      <c r="C33" s="38"/>
      <c r="D33" s="243"/>
      <c r="E33" s="42"/>
      <c r="F33" s="238">
        <f>F34+F47+F52</f>
        <v>23411.651655792622</v>
      </c>
    </row>
    <row r="34" spans="1:6">
      <c r="A34" s="242">
        <v>1</v>
      </c>
      <c r="B34" s="237" t="s">
        <v>45</v>
      </c>
      <c r="C34" s="38"/>
      <c r="D34" s="243"/>
      <c r="E34" s="42"/>
      <c r="F34" s="238">
        <f>SUM(F35:F46)</f>
        <v>12190.202603618334</v>
      </c>
    </row>
    <row r="35" spans="1:6">
      <c r="A35" s="96"/>
      <c r="B35" s="239" t="s">
        <v>55</v>
      </c>
      <c r="C35" s="38" t="s">
        <v>46</v>
      </c>
      <c r="D35" s="251">
        <f>HLOOKUP(B35,'Estimativa de horas por produto'!$F$33:$P$85,35,0)</f>
        <v>23.466666666666665</v>
      </c>
      <c r="E35" s="148">
        <f>VLOOKUP(B35,'Custo mao de obra Dnit'!A:AB,28,0)</f>
        <v>49.84170454545454</v>
      </c>
      <c r="F35" s="236">
        <f>D35*E35</f>
        <v>1169.6186666666665</v>
      </c>
    </row>
    <row r="36" spans="1:6">
      <c r="A36" s="96"/>
      <c r="B36" s="239" t="s">
        <v>56</v>
      </c>
      <c r="C36" s="38" t="s">
        <v>46</v>
      </c>
      <c r="D36" s="251">
        <f>HLOOKUP(B36,'Estimativa de horas por produto'!$F$33:$P$85,35,0)</f>
        <v>11.733333333333333</v>
      </c>
      <c r="E36" s="148">
        <f>VLOOKUP(B36,'Custo mao de obra Dnit'!A:AB,28,0)</f>
        <v>65.018465909090907</v>
      </c>
      <c r="F36" s="236">
        <f t="shared" ref="F36:F45" si="3">D36*E36</f>
        <v>762.88333333333321</v>
      </c>
    </row>
    <row r="37" spans="1:6">
      <c r="A37" s="96"/>
      <c r="B37" s="239" t="s">
        <v>57</v>
      </c>
      <c r="C37" s="38" t="s">
        <v>46</v>
      </c>
      <c r="D37" s="251">
        <f>HLOOKUP(B37,'Estimativa de horas por produto'!$F$33:$P$85,35,0)</f>
        <v>11.733333333333333</v>
      </c>
      <c r="E37" s="148">
        <f>VLOOKUP(B37,'Custo mao de obra Dnit'!A:AB,28,0)</f>
        <v>75.596358262926245</v>
      </c>
      <c r="F37" s="236">
        <f t="shared" si="3"/>
        <v>886.99727028500126</v>
      </c>
    </row>
    <row r="38" spans="1:6">
      <c r="A38" s="96"/>
      <c r="B38" s="239" t="s">
        <v>58</v>
      </c>
      <c r="C38" s="38" t="s">
        <v>46</v>
      </c>
      <c r="D38" s="251">
        <f>HLOOKUP(B38,'Estimativa de horas por produto'!$F$33:$P$85,35,0)</f>
        <v>17.600000000000001</v>
      </c>
      <c r="E38" s="148">
        <f>VLOOKUP(B38,'Custo mao de obra Dnit'!A:AB,28,0)</f>
        <v>53.100624999999994</v>
      </c>
      <c r="F38" s="236">
        <f t="shared" si="3"/>
        <v>934.57099999999991</v>
      </c>
    </row>
    <row r="39" spans="1:6">
      <c r="A39" s="96"/>
      <c r="B39" s="239" t="s">
        <v>59</v>
      </c>
      <c r="C39" s="38" t="s">
        <v>46</v>
      </c>
      <c r="D39" s="251">
        <f>HLOOKUP(B39,'Estimativa de horas por produto'!$F$33:$P$85,35,0)</f>
        <v>11.733333333333333</v>
      </c>
      <c r="E39" s="148">
        <f>VLOOKUP(B39,'Custo mao de obra Dnit'!A:AB,28,0)</f>
        <v>121.47482954545454</v>
      </c>
      <c r="F39" s="236">
        <f t="shared" si="3"/>
        <v>1425.3046666666664</v>
      </c>
    </row>
    <row r="40" spans="1:6">
      <c r="A40" s="96"/>
      <c r="B40" s="239" t="s">
        <v>60</v>
      </c>
      <c r="C40" s="38" t="s">
        <v>46</v>
      </c>
      <c r="D40" s="251">
        <f>HLOOKUP(B40,'Estimativa de horas por produto'!$F$33:$P$85,35,0)</f>
        <v>5.8666666666666663</v>
      </c>
      <c r="E40" s="148">
        <f>VLOOKUP(B40,'Custo mao de obra Dnit'!A:AB,28,0)</f>
        <v>45.856761363636366</v>
      </c>
      <c r="F40" s="236">
        <f t="shared" si="3"/>
        <v>269.02633333333335</v>
      </c>
    </row>
    <row r="41" spans="1:6">
      <c r="A41" s="96"/>
      <c r="B41" s="239" t="s">
        <v>61</v>
      </c>
      <c r="C41" s="38" t="s">
        <v>46</v>
      </c>
      <c r="D41" s="251">
        <f>HLOOKUP(B41,'Estimativa de horas por produto'!$F$33:$P$85,35,0)</f>
        <v>1.9555555555555553</v>
      </c>
      <c r="E41" s="148">
        <f>VLOOKUP(B41,'Custo mao de obra Dnit'!A:AB,28,0)</f>
        <v>95.24392045454546</v>
      </c>
      <c r="F41" s="236">
        <f t="shared" si="3"/>
        <v>186.25477777777778</v>
      </c>
    </row>
    <row r="42" spans="1:6">
      <c r="A42" s="96"/>
      <c r="B42" s="239" t="s">
        <v>62</v>
      </c>
      <c r="C42" s="38" t="s">
        <v>46</v>
      </c>
      <c r="D42" s="251">
        <f>HLOOKUP(B42,'Estimativa de horas por produto'!$F$33:$P$85,35,0)</f>
        <v>5.8666666666666663</v>
      </c>
      <c r="E42" s="148">
        <f>VLOOKUP(B42,'Custo mao de obra Dnit'!A:AB,28,0)</f>
        <v>95.230852272727276</v>
      </c>
      <c r="F42" s="236">
        <f t="shared" si="3"/>
        <v>558.6876666666667</v>
      </c>
    </row>
    <row r="43" spans="1:6">
      <c r="A43" s="96"/>
      <c r="B43" s="239" t="s">
        <v>63</v>
      </c>
      <c r="C43" s="38" t="s">
        <v>46</v>
      </c>
      <c r="D43" s="251">
        <f>HLOOKUP(B43,'Estimativa de horas por produto'!$F$33:$P$85,35,0)</f>
        <v>5.8666666666666663</v>
      </c>
      <c r="E43" s="148">
        <f>VLOOKUP(B43,'Custo mao de obra Dnit'!A:AB,28,0)</f>
        <v>107.9440909090909</v>
      </c>
      <c r="F43" s="236">
        <f t="shared" si="3"/>
        <v>633.27199999999993</v>
      </c>
    </row>
    <row r="44" spans="1:6">
      <c r="A44" s="96"/>
      <c r="B44" s="239" t="s">
        <v>64</v>
      </c>
      <c r="C44" s="38" t="s">
        <v>46</v>
      </c>
      <c r="D44" s="251">
        <f>HLOOKUP(B44,'Estimativa de horas por produto'!$F$33:$P$85,35,0)</f>
        <v>43.022222222222226</v>
      </c>
      <c r="E44" s="148">
        <f>VLOOKUP(B44,'Custo mao de obra Dnit'!A:AB,28,0)</f>
        <v>95.230852272727276</v>
      </c>
      <c r="F44" s="236">
        <f t="shared" si="3"/>
        <v>4097.0428888888891</v>
      </c>
    </row>
    <row r="45" spans="1:6">
      <c r="A45" s="96"/>
      <c r="B45" s="239" t="s">
        <v>65</v>
      </c>
      <c r="C45" s="38" t="s">
        <v>46</v>
      </c>
      <c r="D45" s="251">
        <f>HLOOKUP(B45,'Estimativa de horas por produto'!$F$33:$P$85,35,0)</f>
        <v>11.733333333333333</v>
      </c>
      <c r="E45" s="148">
        <f>VLOOKUP(B45,'Custo mao de obra Dnit'!A:AB,28,0)</f>
        <v>107.9440909090909</v>
      </c>
      <c r="F45" s="236">
        <f t="shared" si="3"/>
        <v>1266.5439999999999</v>
      </c>
    </row>
    <row r="46" spans="1:6">
      <c r="A46" s="96"/>
      <c r="B46" s="239"/>
      <c r="C46" s="38"/>
      <c r="D46" s="251"/>
      <c r="E46" s="148"/>
      <c r="F46" s="236"/>
    </row>
    <row r="47" spans="1:6">
      <c r="A47" s="242">
        <v>2</v>
      </c>
      <c r="B47" s="237" t="s">
        <v>201</v>
      </c>
      <c r="C47" s="245"/>
      <c r="D47" s="243"/>
      <c r="E47" s="45"/>
      <c r="F47" s="238">
        <f>SUM(F48:F50)</f>
        <v>5311.2712743965085</v>
      </c>
    </row>
    <row r="48" spans="1:6">
      <c r="A48" s="234"/>
      <c r="B48" s="239" t="s">
        <v>223</v>
      </c>
      <c r="C48" s="240" t="s">
        <v>19</v>
      </c>
      <c r="D48" s="244">
        <f>$F$8</f>
        <v>12190.202603618334</v>
      </c>
      <c r="E48" s="252">
        <f>'Custos diversos e BDI - DNIT'!$D$30/100</f>
        <v>0.11110000000000002</v>
      </c>
      <c r="F48" s="236">
        <f>D48*E48</f>
        <v>1354.3315092619971</v>
      </c>
    </row>
    <row r="49" spans="1:6">
      <c r="A49" s="234"/>
      <c r="B49" s="239" t="s">
        <v>224</v>
      </c>
      <c r="C49" s="240" t="s">
        <v>19</v>
      </c>
      <c r="D49" s="244">
        <f t="shared" ref="D49:D50" si="4">$F$8</f>
        <v>12190.202603618334</v>
      </c>
      <c r="E49" s="252">
        <f>'Custos diversos e BDI - DNIT'!$D$33/100</f>
        <v>0.12</v>
      </c>
      <c r="F49" s="236">
        <f t="shared" ref="F49:F50" si="5">D49*E49</f>
        <v>1462.8243124342</v>
      </c>
    </row>
    <row r="50" spans="1:6">
      <c r="A50" s="234"/>
      <c r="B50" s="239" t="s">
        <v>225</v>
      </c>
      <c r="C50" s="240" t="s">
        <v>19</v>
      </c>
      <c r="D50" s="244">
        <f t="shared" si="4"/>
        <v>12190.202603618334</v>
      </c>
      <c r="E50" s="252">
        <f>'Custos diversos e BDI - DNIT'!$D$38/100</f>
        <v>0.2046</v>
      </c>
      <c r="F50" s="236">
        <f t="shared" si="5"/>
        <v>2494.1154527003114</v>
      </c>
    </row>
    <row r="51" spans="1:6">
      <c r="A51" s="234"/>
      <c r="B51" s="239"/>
      <c r="C51" s="49"/>
      <c r="D51" s="244"/>
      <c r="E51" s="252"/>
      <c r="F51" s="236"/>
    </row>
    <row r="52" spans="1:6">
      <c r="A52" s="102" t="s">
        <v>47</v>
      </c>
      <c r="B52" s="103" t="s">
        <v>10</v>
      </c>
      <c r="C52" s="104" t="s">
        <v>46</v>
      </c>
      <c r="D52" s="105">
        <f>SUM(D35:D45)</f>
        <v>150.57777777777775</v>
      </c>
      <c r="E52" s="150">
        <f>'Custo Gerencial'!$G$48</f>
        <v>39.25</v>
      </c>
      <c r="F52" s="106">
        <f>D52*E52</f>
        <v>5910.177777777777</v>
      </c>
    </row>
    <row r="53" spans="1:6">
      <c r="A53" s="234"/>
      <c r="B53" s="239"/>
      <c r="C53" s="49"/>
      <c r="D53" s="244"/>
      <c r="E53" s="246"/>
      <c r="F53" s="236"/>
    </row>
    <row r="54" spans="1:6" ht="13.8" thickBot="1">
      <c r="A54" s="107"/>
      <c r="B54" s="247" t="s">
        <v>73</v>
      </c>
      <c r="C54" s="109" t="s">
        <v>21</v>
      </c>
      <c r="D54" s="110">
        <v>1</v>
      </c>
      <c r="E54" s="223">
        <f>F33</f>
        <v>23411.651655792622</v>
      </c>
      <c r="F54" s="112">
        <f>E54*D54</f>
        <v>23411.651655792622</v>
      </c>
    </row>
    <row r="56" spans="1:6" ht="13.8" thickBot="1"/>
    <row r="57" spans="1:6" ht="29.25" customHeight="1">
      <c r="A57" s="292" t="str">
        <f>"Produto "&amp;L7</f>
        <v>Produto 17</v>
      </c>
      <c r="B57" s="333" t="str">
        <f>M7</f>
        <v>Adequação de estudos e documentos de viabilidade técnica, ambiental, econômica e jurídica, com justificativas das alterações das Rodovias Integradas do Paraná</v>
      </c>
      <c r="C57" s="333"/>
      <c r="D57" s="333"/>
      <c r="E57" s="333"/>
      <c r="F57" s="334"/>
    </row>
    <row r="58" spans="1:6">
      <c r="A58" s="91" t="s">
        <v>3</v>
      </c>
      <c r="B58" s="92" t="s">
        <v>5</v>
      </c>
      <c r="C58" s="92" t="s">
        <v>6</v>
      </c>
      <c r="D58" s="92" t="s">
        <v>7</v>
      </c>
      <c r="E58" s="92" t="s">
        <v>40</v>
      </c>
      <c r="F58" s="93" t="s">
        <v>41</v>
      </c>
    </row>
    <row r="59" spans="1:6">
      <c r="A59" s="297" t="str">
        <f>"valor mês "&amp;A57</f>
        <v>valor mês Produto 17</v>
      </c>
      <c r="B59" s="237" t="str">
        <f>B57</f>
        <v>Adequação de estudos e documentos de viabilidade técnica, ambiental, econômica e jurídica, com justificativas das alterações das Rodovias Integradas do Paraná</v>
      </c>
      <c r="C59" s="38"/>
      <c r="D59" s="243"/>
      <c r="E59" s="42"/>
      <c r="F59" s="238">
        <f>F60+F73+F78</f>
        <v>23411.651655792622</v>
      </c>
    </row>
    <row r="60" spans="1:6">
      <c r="A60" s="242">
        <v>1</v>
      </c>
      <c r="B60" s="237" t="s">
        <v>45</v>
      </c>
      <c r="C60" s="38"/>
      <c r="D60" s="243"/>
      <c r="E60" s="42"/>
      <c r="F60" s="238">
        <f>SUM(F61:F72)</f>
        <v>12190.202603618334</v>
      </c>
    </row>
    <row r="61" spans="1:6">
      <c r="A61" s="96"/>
      <c r="B61" s="239" t="s">
        <v>55</v>
      </c>
      <c r="C61" s="38" t="s">
        <v>46</v>
      </c>
      <c r="D61" s="251">
        <f>HLOOKUP(B61,'Estimativa de horas por produto'!$F$33:$P$85,36,0)</f>
        <v>23.466666666666665</v>
      </c>
      <c r="E61" s="148">
        <f>VLOOKUP(B61,'Custo mao de obra Dnit'!A:AB,28,0)</f>
        <v>49.84170454545454</v>
      </c>
      <c r="F61" s="236">
        <f>D61*E61</f>
        <v>1169.6186666666665</v>
      </c>
    </row>
    <row r="62" spans="1:6">
      <c r="A62" s="96"/>
      <c r="B62" s="239" t="s">
        <v>56</v>
      </c>
      <c r="C62" s="38" t="s">
        <v>46</v>
      </c>
      <c r="D62" s="251">
        <f>HLOOKUP(B62,'Estimativa de horas por produto'!$F$33:$P$85,36,0)</f>
        <v>11.733333333333333</v>
      </c>
      <c r="E62" s="148">
        <f>VLOOKUP(B62,'Custo mao de obra Dnit'!A:AB,28,0)</f>
        <v>65.018465909090907</v>
      </c>
      <c r="F62" s="236">
        <f t="shared" ref="F62:F71" si="6">D62*E62</f>
        <v>762.88333333333321</v>
      </c>
    </row>
    <row r="63" spans="1:6">
      <c r="A63" s="96"/>
      <c r="B63" s="239" t="s">
        <v>57</v>
      </c>
      <c r="C63" s="38" t="s">
        <v>46</v>
      </c>
      <c r="D63" s="251">
        <f>HLOOKUP(B63,'Estimativa de horas por produto'!$F$33:$P$85,36,0)</f>
        <v>11.733333333333333</v>
      </c>
      <c r="E63" s="148">
        <f>VLOOKUP(B63,'Custo mao de obra Dnit'!A:AB,28,0)</f>
        <v>75.596358262926245</v>
      </c>
      <c r="F63" s="236">
        <f t="shared" si="6"/>
        <v>886.99727028500126</v>
      </c>
    </row>
    <row r="64" spans="1:6">
      <c r="A64" s="96"/>
      <c r="B64" s="239" t="s">
        <v>58</v>
      </c>
      <c r="C64" s="38" t="s">
        <v>46</v>
      </c>
      <c r="D64" s="251">
        <f>HLOOKUP(B64,'Estimativa de horas por produto'!$F$33:$P$85,36,0)</f>
        <v>17.600000000000001</v>
      </c>
      <c r="E64" s="148">
        <f>VLOOKUP(B64,'Custo mao de obra Dnit'!A:AB,28,0)</f>
        <v>53.100624999999994</v>
      </c>
      <c r="F64" s="236">
        <f t="shared" si="6"/>
        <v>934.57099999999991</v>
      </c>
    </row>
    <row r="65" spans="1:6">
      <c r="A65" s="96"/>
      <c r="B65" s="239" t="s">
        <v>59</v>
      </c>
      <c r="C65" s="38" t="s">
        <v>46</v>
      </c>
      <c r="D65" s="251">
        <f>HLOOKUP(B65,'Estimativa de horas por produto'!$F$33:$P$85,36,0)</f>
        <v>11.733333333333333</v>
      </c>
      <c r="E65" s="148">
        <f>VLOOKUP(B65,'Custo mao de obra Dnit'!A:AB,28,0)</f>
        <v>121.47482954545454</v>
      </c>
      <c r="F65" s="236">
        <f t="shared" si="6"/>
        <v>1425.3046666666664</v>
      </c>
    </row>
    <row r="66" spans="1:6">
      <c r="A66" s="96"/>
      <c r="B66" s="239" t="s">
        <v>60</v>
      </c>
      <c r="C66" s="38" t="s">
        <v>46</v>
      </c>
      <c r="D66" s="251">
        <f>HLOOKUP(B66,'Estimativa de horas por produto'!$F$33:$P$85,36,0)</f>
        <v>5.8666666666666663</v>
      </c>
      <c r="E66" s="148">
        <f>VLOOKUP(B66,'Custo mao de obra Dnit'!A:AB,28,0)</f>
        <v>45.856761363636366</v>
      </c>
      <c r="F66" s="236">
        <f t="shared" si="6"/>
        <v>269.02633333333335</v>
      </c>
    </row>
    <row r="67" spans="1:6">
      <c r="A67" s="96"/>
      <c r="B67" s="239" t="s">
        <v>61</v>
      </c>
      <c r="C67" s="38" t="s">
        <v>46</v>
      </c>
      <c r="D67" s="251">
        <f>HLOOKUP(B67,'Estimativa de horas por produto'!$F$33:$P$85,36,0)</f>
        <v>1.9555555555555553</v>
      </c>
      <c r="E67" s="148">
        <f>VLOOKUP(B67,'Custo mao de obra Dnit'!A:AB,28,0)</f>
        <v>95.24392045454546</v>
      </c>
      <c r="F67" s="236">
        <f t="shared" si="6"/>
        <v>186.25477777777778</v>
      </c>
    </row>
    <row r="68" spans="1:6">
      <c r="A68" s="96"/>
      <c r="B68" s="239" t="s">
        <v>62</v>
      </c>
      <c r="C68" s="38" t="s">
        <v>46</v>
      </c>
      <c r="D68" s="251">
        <f>HLOOKUP(B68,'Estimativa de horas por produto'!$F$33:$P$85,36,0)</f>
        <v>5.8666666666666663</v>
      </c>
      <c r="E68" s="148">
        <f>VLOOKUP(B68,'Custo mao de obra Dnit'!A:AB,28,0)</f>
        <v>95.230852272727276</v>
      </c>
      <c r="F68" s="236">
        <f t="shared" si="6"/>
        <v>558.6876666666667</v>
      </c>
    </row>
    <row r="69" spans="1:6">
      <c r="A69" s="96"/>
      <c r="B69" s="239" t="s">
        <v>63</v>
      </c>
      <c r="C69" s="38" t="s">
        <v>46</v>
      </c>
      <c r="D69" s="251">
        <f>HLOOKUP(B69,'Estimativa de horas por produto'!$F$33:$P$85,36,0)</f>
        <v>5.8666666666666663</v>
      </c>
      <c r="E69" s="148">
        <f>VLOOKUP(B69,'Custo mao de obra Dnit'!A:AB,28,0)</f>
        <v>107.9440909090909</v>
      </c>
      <c r="F69" s="236">
        <f t="shared" si="6"/>
        <v>633.27199999999993</v>
      </c>
    </row>
    <row r="70" spans="1:6">
      <c r="A70" s="96"/>
      <c r="B70" s="239" t="s">
        <v>64</v>
      </c>
      <c r="C70" s="38" t="s">
        <v>46</v>
      </c>
      <c r="D70" s="251">
        <f>HLOOKUP(B70,'Estimativa de horas por produto'!$F$33:$P$85,36,0)</f>
        <v>43.022222222222226</v>
      </c>
      <c r="E70" s="148">
        <f>VLOOKUP(B70,'Custo mao de obra Dnit'!A:AB,28,0)</f>
        <v>95.230852272727276</v>
      </c>
      <c r="F70" s="236">
        <f t="shared" si="6"/>
        <v>4097.0428888888891</v>
      </c>
    </row>
    <row r="71" spans="1:6">
      <c r="A71" s="96"/>
      <c r="B71" s="239" t="s">
        <v>65</v>
      </c>
      <c r="C71" s="38" t="s">
        <v>46</v>
      </c>
      <c r="D71" s="251">
        <f>HLOOKUP(B71,'Estimativa de horas por produto'!$F$33:$P$85,36,0)</f>
        <v>11.733333333333333</v>
      </c>
      <c r="E71" s="148">
        <f>VLOOKUP(B71,'Custo mao de obra Dnit'!A:AB,28,0)</f>
        <v>107.9440909090909</v>
      </c>
      <c r="F71" s="236">
        <f t="shared" si="6"/>
        <v>1266.5439999999999</v>
      </c>
    </row>
    <row r="72" spans="1:6">
      <c r="A72" s="96"/>
      <c r="B72" s="239"/>
      <c r="C72" s="38"/>
      <c r="D72" s="251"/>
      <c r="E72" s="148"/>
      <c r="F72" s="236"/>
    </row>
    <row r="73" spans="1:6">
      <c r="A73" s="242">
        <v>2</v>
      </c>
      <c r="B73" s="237" t="s">
        <v>201</v>
      </c>
      <c r="C73" s="245"/>
      <c r="D73" s="243"/>
      <c r="E73" s="45"/>
      <c r="F73" s="238">
        <f>SUM(F74:F76)</f>
        <v>5311.2712743965085</v>
      </c>
    </row>
    <row r="74" spans="1:6">
      <c r="A74" s="234"/>
      <c r="B74" s="239" t="s">
        <v>223</v>
      </c>
      <c r="C74" s="240" t="s">
        <v>19</v>
      </c>
      <c r="D74" s="244">
        <f>$F$8</f>
        <v>12190.202603618334</v>
      </c>
      <c r="E74" s="252">
        <f>'Custos diversos e BDI - DNIT'!$D$30/100</f>
        <v>0.11110000000000002</v>
      </c>
      <c r="F74" s="236">
        <f>D74*E74</f>
        <v>1354.3315092619971</v>
      </c>
    </row>
    <row r="75" spans="1:6">
      <c r="A75" s="234"/>
      <c r="B75" s="239" t="s">
        <v>224</v>
      </c>
      <c r="C75" s="240" t="s">
        <v>19</v>
      </c>
      <c r="D75" s="244">
        <f t="shared" ref="D75:D76" si="7">$F$8</f>
        <v>12190.202603618334</v>
      </c>
      <c r="E75" s="252">
        <f>'Custos diversos e BDI - DNIT'!$D$33/100</f>
        <v>0.12</v>
      </c>
      <c r="F75" s="236">
        <f t="shared" ref="F75:F76" si="8">D75*E75</f>
        <v>1462.8243124342</v>
      </c>
    </row>
    <row r="76" spans="1:6">
      <c r="A76" s="234"/>
      <c r="B76" s="239" t="s">
        <v>225</v>
      </c>
      <c r="C76" s="240" t="s">
        <v>19</v>
      </c>
      <c r="D76" s="244">
        <f t="shared" si="7"/>
        <v>12190.202603618334</v>
      </c>
      <c r="E76" s="252">
        <f>'Custos diversos e BDI - DNIT'!$D$38/100</f>
        <v>0.2046</v>
      </c>
      <c r="F76" s="236">
        <f t="shared" si="8"/>
        <v>2494.1154527003114</v>
      </c>
    </row>
    <row r="77" spans="1:6">
      <c r="A77" s="234"/>
      <c r="B77" s="239"/>
      <c r="C77" s="49"/>
      <c r="D77" s="244"/>
      <c r="E77" s="252"/>
      <c r="F77" s="236"/>
    </row>
    <row r="78" spans="1:6">
      <c r="A78" s="102" t="s">
        <v>47</v>
      </c>
      <c r="B78" s="103" t="s">
        <v>10</v>
      </c>
      <c r="C78" s="104" t="s">
        <v>46</v>
      </c>
      <c r="D78" s="105">
        <f>SUM(D61:D71)</f>
        <v>150.57777777777775</v>
      </c>
      <c r="E78" s="150">
        <f>'Custo Gerencial'!$G$48</f>
        <v>39.25</v>
      </c>
      <c r="F78" s="106">
        <f>D78*E78</f>
        <v>5910.177777777777</v>
      </c>
    </row>
    <row r="79" spans="1:6">
      <c r="A79" s="234"/>
      <c r="B79" s="239"/>
      <c r="C79" s="49"/>
      <c r="D79" s="244"/>
      <c r="E79" s="246"/>
      <c r="F79" s="236"/>
    </row>
    <row r="80" spans="1:6" ht="13.8" thickBot="1">
      <c r="A80" s="107"/>
      <c r="B80" s="247" t="s">
        <v>73</v>
      </c>
      <c r="C80" s="109" t="s">
        <v>21</v>
      </c>
      <c r="D80" s="110">
        <v>1</v>
      </c>
      <c r="E80" s="223">
        <f>F59</f>
        <v>23411.651655792622</v>
      </c>
      <c r="F80" s="112">
        <f>E80*D80</f>
        <v>23411.651655792622</v>
      </c>
    </row>
    <row r="82" spans="1:6" ht="13.8" thickBot="1"/>
    <row r="83" spans="1:6" ht="29.25" customHeight="1">
      <c r="A83" s="292" t="str">
        <f>"Produto "&amp;L8</f>
        <v>Produto 18</v>
      </c>
      <c r="B83" s="333" t="str">
        <f>M8</f>
        <v>Adequação de estudos e documentos de viabilidade técnica, ambiental, econômica e jurídica, com justificativas das alterações da BR-116/493/RJ/MG (CRT)</v>
      </c>
      <c r="C83" s="333"/>
      <c r="D83" s="333"/>
      <c r="E83" s="333"/>
      <c r="F83" s="334"/>
    </row>
    <row r="84" spans="1:6">
      <c r="A84" s="91" t="s">
        <v>3</v>
      </c>
      <c r="B84" s="92" t="s">
        <v>5</v>
      </c>
      <c r="C84" s="92" t="s">
        <v>6</v>
      </c>
      <c r="D84" s="92" t="s">
        <v>7</v>
      </c>
      <c r="E84" s="92" t="s">
        <v>40</v>
      </c>
      <c r="F84" s="93" t="s">
        <v>41</v>
      </c>
    </row>
    <row r="85" spans="1:6">
      <c r="A85" s="297" t="str">
        <f>"valor mês "&amp;A83</f>
        <v>valor mês Produto 18</v>
      </c>
      <c r="B85" s="237" t="str">
        <f>B83</f>
        <v>Adequação de estudos e documentos de viabilidade técnica, ambiental, econômica e jurídica, com justificativas das alterações da BR-116/493/RJ/MG (CRT)</v>
      </c>
      <c r="C85" s="38"/>
      <c r="D85" s="243"/>
      <c r="E85" s="42"/>
      <c r="F85" s="238">
        <f>F86+F99+F104</f>
        <v>23411.651655792622</v>
      </c>
    </row>
    <row r="86" spans="1:6">
      <c r="A86" s="242">
        <v>1</v>
      </c>
      <c r="B86" s="237" t="s">
        <v>45</v>
      </c>
      <c r="C86" s="38"/>
      <c r="D86" s="243"/>
      <c r="E86" s="42"/>
      <c r="F86" s="238">
        <f>SUM(F87:F98)</f>
        <v>12190.202603618334</v>
      </c>
    </row>
    <row r="87" spans="1:6">
      <c r="A87" s="96"/>
      <c r="B87" s="239" t="s">
        <v>55</v>
      </c>
      <c r="C87" s="38" t="s">
        <v>46</v>
      </c>
      <c r="D87" s="251">
        <f>HLOOKUP(B87,'Estimativa de horas por produto'!$F$33:$P$85,37,0)</f>
        <v>23.466666666666665</v>
      </c>
      <c r="E87" s="148">
        <f>VLOOKUP(B87,'Custo mao de obra Dnit'!A:AB,28,0)</f>
        <v>49.84170454545454</v>
      </c>
      <c r="F87" s="236">
        <f>D87*E87</f>
        <v>1169.6186666666665</v>
      </c>
    </row>
    <row r="88" spans="1:6">
      <c r="A88" s="96"/>
      <c r="B88" s="239" t="s">
        <v>56</v>
      </c>
      <c r="C88" s="38" t="s">
        <v>46</v>
      </c>
      <c r="D88" s="251">
        <f>HLOOKUP(B88,'Estimativa de horas por produto'!$F$33:$P$85,37,0)</f>
        <v>11.733333333333333</v>
      </c>
      <c r="E88" s="148">
        <f>VLOOKUP(B88,'Custo mao de obra Dnit'!A:AB,28,0)</f>
        <v>65.018465909090907</v>
      </c>
      <c r="F88" s="236">
        <f t="shared" ref="F88:F97" si="9">D88*E88</f>
        <v>762.88333333333321</v>
      </c>
    </row>
    <row r="89" spans="1:6">
      <c r="A89" s="96"/>
      <c r="B89" s="239" t="s">
        <v>57</v>
      </c>
      <c r="C89" s="38" t="s">
        <v>46</v>
      </c>
      <c r="D89" s="251">
        <f>HLOOKUP(B89,'Estimativa de horas por produto'!$F$33:$P$85,37,0)</f>
        <v>11.733333333333333</v>
      </c>
      <c r="E89" s="148">
        <f>VLOOKUP(B89,'Custo mao de obra Dnit'!A:AB,28,0)</f>
        <v>75.596358262926245</v>
      </c>
      <c r="F89" s="236">
        <f t="shared" si="9"/>
        <v>886.99727028500126</v>
      </c>
    </row>
    <row r="90" spans="1:6">
      <c r="A90" s="96"/>
      <c r="B90" s="239" t="s">
        <v>58</v>
      </c>
      <c r="C90" s="38" t="s">
        <v>46</v>
      </c>
      <c r="D90" s="251">
        <f>HLOOKUP(B90,'Estimativa de horas por produto'!$F$33:$P$85,37,0)</f>
        <v>17.600000000000001</v>
      </c>
      <c r="E90" s="148">
        <f>VLOOKUP(B90,'Custo mao de obra Dnit'!A:AB,28,0)</f>
        <v>53.100624999999994</v>
      </c>
      <c r="F90" s="236">
        <f t="shared" si="9"/>
        <v>934.57099999999991</v>
      </c>
    </row>
    <row r="91" spans="1:6">
      <c r="A91" s="96"/>
      <c r="B91" s="239" t="s">
        <v>59</v>
      </c>
      <c r="C91" s="38" t="s">
        <v>46</v>
      </c>
      <c r="D91" s="251">
        <f>HLOOKUP(B91,'Estimativa de horas por produto'!$F$33:$P$85,37,0)</f>
        <v>11.733333333333333</v>
      </c>
      <c r="E91" s="148">
        <f>VLOOKUP(B91,'Custo mao de obra Dnit'!A:AB,28,0)</f>
        <v>121.47482954545454</v>
      </c>
      <c r="F91" s="236">
        <f t="shared" si="9"/>
        <v>1425.3046666666664</v>
      </c>
    </row>
    <row r="92" spans="1:6">
      <c r="A92" s="96"/>
      <c r="B92" s="239" t="s">
        <v>60</v>
      </c>
      <c r="C92" s="38" t="s">
        <v>46</v>
      </c>
      <c r="D92" s="251">
        <f>HLOOKUP(B92,'Estimativa de horas por produto'!$F$33:$P$85,37,0)</f>
        <v>5.8666666666666663</v>
      </c>
      <c r="E92" s="148">
        <f>VLOOKUP(B92,'Custo mao de obra Dnit'!A:AB,28,0)</f>
        <v>45.856761363636366</v>
      </c>
      <c r="F92" s="236">
        <f t="shared" si="9"/>
        <v>269.02633333333335</v>
      </c>
    </row>
    <row r="93" spans="1:6">
      <c r="A93" s="96"/>
      <c r="B93" s="239" t="s">
        <v>61</v>
      </c>
      <c r="C93" s="38" t="s">
        <v>46</v>
      </c>
      <c r="D93" s="251">
        <f>HLOOKUP(B93,'Estimativa de horas por produto'!$F$33:$P$85,37,0)</f>
        <v>1.9555555555555553</v>
      </c>
      <c r="E93" s="148">
        <f>VLOOKUP(B93,'Custo mao de obra Dnit'!A:AB,28,0)</f>
        <v>95.24392045454546</v>
      </c>
      <c r="F93" s="236">
        <f t="shared" si="9"/>
        <v>186.25477777777778</v>
      </c>
    </row>
    <row r="94" spans="1:6">
      <c r="A94" s="96"/>
      <c r="B94" s="239" t="s">
        <v>62</v>
      </c>
      <c r="C94" s="38" t="s">
        <v>46</v>
      </c>
      <c r="D94" s="251">
        <f>HLOOKUP(B94,'Estimativa de horas por produto'!$F$33:$P$85,37,0)</f>
        <v>5.8666666666666663</v>
      </c>
      <c r="E94" s="148">
        <f>VLOOKUP(B94,'Custo mao de obra Dnit'!A:AB,28,0)</f>
        <v>95.230852272727276</v>
      </c>
      <c r="F94" s="236">
        <f t="shared" si="9"/>
        <v>558.6876666666667</v>
      </c>
    </row>
    <row r="95" spans="1:6">
      <c r="A95" s="96"/>
      <c r="B95" s="239" t="s">
        <v>63</v>
      </c>
      <c r="C95" s="38" t="s">
        <v>46</v>
      </c>
      <c r="D95" s="251">
        <f>HLOOKUP(B95,'Estimativa de horas por produto'!$F$33:$P$85,37,0)</f>
        <v>5.8666666666666663</v>
      </c>
      <c r="E95" s="148">
        <f>VLOOKUP(B95,'Custo mao de obra Dnit'!A:AB,28,0)</f>
        <v>107.9440909090909</v>
      </c>
      <c r="F95" s="236">
        <f t="shared" si="9"/>
        <v>633.27199999999993</v>
      </c>
    </row>
    <row r="96" spans="1:6">
      <c r="A96" s="96"/>
      <c r="B96" s="239" t="s">
        <v>64</v>
      </c>
      <c r="C96" s="38" t="s">
        <v>46</v>
      </c>
      <c r="D96" s="251">
        <f>HLOOKUP(B96,'Estimativa de horas por produto'!$F$33:$P$85,37,0)</f>
        <v>43.022222222222226</v>
      </c>
      <c r="E96" s="148">
        <f>VLOOKUP(B96,'Custo mao de obra Dnit'!A:AB,28,0)</f>
        <v>95.230852272727276</v>
      </c>
      <c r="F96" s="236">
        <f t="shared" si="9"/>
        <v>4097.0428888888891</v>
      </c>
    </row>
    <row r="97" spans="1:6">
      <c r="A97" s="96"/>
      <c r="B97" s="239" t="s">
        <v>65</v>
      </c>
      <c r="C97" s="38" t="s">
        <v>46</v>
      </c>
      <c r="D97" s="251">
        <f>HLOOKUP(B97,'Estimativa de horas por produto'!$F$33:$P$85,37,0)</f>
        <v>11.733333333333333</v>
      </c>
      <c r="E97" s="148">
        <f>VLOOKUP(B97,'Custo mao de obra Dnit'!A:AB,28,0)</f>
        <v>107.9440909090909</v>
      </c>
      <c r="F97" s="236">
        <f t="shared" si="9"/>
        <v>1266.5439999999999</v>
      </c>
    </row>
    <row r="98" spans="1:6">
      <c r="A98" s="96"/>
      <c r="B98" s="239"/>
      <c r="C98" s="38"/>
      <c r="D98" s="251"/>
      <c r="E98" s="148"/>
      <c r="F98" s="236"/>
    </row>
    <row r="99" spans="1:6">
      <c r="A99" s="242">
        <v>2</v>
      </c>
      <c r="B99" s="237" t="s">
        <v>201</v>
      </c>
      <c r="C99" s="245"/>
      <c r="D99" s="243"/>
      <c r="E99" s="45"/>
      <c r="F99" s="238">
        <f>SUM(F100:F102)</f>
        <v>5311.2712743965085</v>
      </c>
    </row>
    <row r="100" spans="1:6">
      <c r="A100" s="234"/>
      <c r="B100" s="239" t="s">
        <v>223</v>
      </c>
      <c r="C100" s="240" t="s">
        <v>19</v>
      </c>
      <c r="D100" s="244">
        <f>$F$8</f>
        <v>12190.202603618334</v>
      </c>
      <c r="E100" s="252">
        <f>'Custos diversos e BDI - DNIT'!$D$30/100</f>
        <v>0.11110000000000002</v>
      </c>
      <c r="F100" s="236">
        <f>D100*E100</f>
        <v>1354.3315092619971</v>
      </c>
    </row>
    <row r="101" spans="1:6">
      <c r="A101" s="234"/>
      <c r="B101" s="239" t="s">
        <v>224</v>
      </c>
      <c r="C101" s="240" t="s">
        <v>19</v>
      </c>
      <c r="D101" s="244">
        <f t="shared" ref="D101:D102" si="10">$F$8</f>
        <v>12190.202603618334</v>
      </c>
      <c r="E101" s="252">
        <f>'Custos diversos e BDI - DNIT'!$D$33/100</f>
        <v>0.12</v>
      </c>
      <c r="F101" s="236">
        <f t="shared" ref="F101:F102" si="11">D101*E101</f>
        <v>1462.8243124342</v>
      </c>
    </row>
    <row r="102" spans="1:6">
      <c r="A102" s="234"/>
      <c r="B102" s="239" t="s">
        <v>225</v>
      </c>
      <c r="C102" s="240" t="s">
        <v>19</v>
      </c>
      <c r="D102" s="244">
        <f t="shared" si="10"/>
        <v>12190.202603618334</v>
      </c>
      <c r="E102" s="252">
        <f>'Custos diversos e BDI - DNIT'!$D$38/100</f>
        <v>0.2046</v>
      </c>
      <c r="F102" s="236">
        <f t="shared" si="11"/>
        <v>2494.1154527003114</v>
      </c>
    </row>
    <row r="103" spans="1:6">
      <c r="A103" s="234"/>
      <c r="B103" s="239"/>
      <c r="C103" s="49"/>
      <c r="D103" s="244"/>
      <c r="E103" s="252"/>
      <c r="F103" s="236"/>
    </row>
    <row r="104" spans="1:6">
      <c r="A104" s="102" t="s">
        <v>47</v>
      </c>
      <c r="B104" s="103" t="s">
        <v>10</v>
      </c>
      <c r="C104" s="104" t="s">
        <v>46</v>
      </c>
      <c r="D104" s="105">
        <f>SUM(D87:D97)</f>
        <v>150.57777777777775</v>
      </c>
      <c r="E104" s="150">
        <f>'Custo Gerencial'!$G$48</f>
        <v>39.25</v>
      </c>
      <c r="F104" s="106">
        <f>D104*E104</f>
        <v>5910.177777777777</v>
      </c>
    </row>
    <row r="105" spans="1:6">
      <c r="A105" s="234"/>
      <c r="B105" s="239"/>
      <c r="C105" s="49"/>
      <c r="D105" s="244"/>
      <c r="E105" s="246"/>
      <c r="F105" s="236"/>
    </row>
    <row r="106" spans="1:6" ht="13.8" thickBot="1">
      <c r="A106" s="107"/>
      <c r="B106" s="247" t="s">
        <v>73</v>
      </c>
      <c r="C106" s="109" t="s">
        <v>21</v>
      </c>
      <c r="D106" s="110">
        <v>1</v>
      </c>
      <c r="E106" s="223">
        <f>F85</f>
        <v>23411.651655792622</v>
      </c>
      <c r="F106" s="112">
        <f>E106*D106</f>
        <v>23411.651655792622</v>
      </c>
    </row>
    <row r="108" spans="1:6" ht="13.8" thickBot="1"/>
    <row r="109" spans="1:6" ht="29.25" customHeight="1">
      <c r="A109" s="292" t="str">
        <f>"Produto "&amp;L9</f>
        <v>Produto 19</v>
      </c>
      <c r="B109" s="333" t="str">
        <f>M9</f>
        <v>Adequação de estudos e documentos de viabilidade técnica, ambiental, econômica e jurídica, com justificativas das alterações da EF-170 (Ferrogrão)</v>
      </c>
      <c r="C109" s="333"/>
      <c r="D109" s="333"/>
      <c r="E109" s="333"/>
      <c r="F109" s="334"/>
    </row>
    <row r="110" spans="1:6">
      <c r="A110" s="91" t="s">
        <v>3</v>
      </c>
      <c r="B110" s="92" t="s">
        <v>5</v>
      </c>
      <c r="C110" s="92" t="s">
        <v>6</v>
      </c>
      <c r="D110" s="92" t="s">
        <v>7</v>
      </c>
      <c r="E110" s="92" t="s">
        <v>40</v>
      </c>
      <c r="F110" s="93" t="s">
        <v>41</v>
      </c>
    </row>
    <row r="111" spans="1:6">
      <c r="A111" s="297" t="str">
        <f>"valor mês "&amp;A109</f>
        <v>valor mês Produto 19</v>
      </c>
      <c r="B111" s="237" t="str">
        <f>B109</f>
        <v>Adequação de estudos e documentos de viabilidade técnica, ambiental, econômica e jurídica, com justificativas das alterações da EF-170 (Ferrogrão)</v>
      </c>
      <c r="C111" s="38"/>
      <c r="D111" s="243"/>
      <c r="E111" s="42"/>
      <c r="F111" s="238">
        <f>F112+F125+F130</f>
        <v>23411.651655792622</v>
      </c>
    </row>
    <row r="112" spans="1:6">
      <c r="A112" s="242">
        <v>1</v>
      </c>
      <c r="B112" s="237" t="s">
        <v>45</v>
      </c>
      <c r="C112" s="38"/>
      <c r="D112" s="243"/>
      <c r="E112" s="42"/>
      <c r="F112" s="238">
        <f>SUM(F113:F124)</f>
        <v>12190.202603618334</v>
      </c>
    </row>
    <row r="113" spans="1:6">
      <c r="A113" s="96"/>
      <c r="B113" s="239" t="s">
        <v>55</v>
      </c>
      <c r="C113" s="38" t="s">
        <v>46</v>
      </c>
      <c r="D113" s="251">
        <f>HLOOKUP(B113,'Estimativa de horas por produto'!$F$33:$P$85,38,0)</f>
        <v>23.466666666666665</v>
      </c>
      <c r="E113" s="148">
        <f>VLOOKUP(B113,'Custo mao de obra Dnit'!A:AB,28,0)</f>
        <v>49.84170454545454</v>
      </c>
      <c r="F113" s="236">
        <f>D113*E113</f>
        <v>1169.6186666666665</v>
      </c>
    </row>
    <row r="114" spans="1:6">
      <c r="A114" s="96"/>
      <c r="B114" s="239" t="s">
        <v>56</v>
      </c>
      <c r="C114" s="38" t="s">
        <v>46</v>
      </c>
      <c r="D114" s="251">
        <f>HLOOKUP(B114,'Estimativa de horas por produto'!$F$33:$P$85,38,0)</f>
        <v>11.733333333333333</v>
      </c>
      <c r="E114" s="148">
        <f>VLOOKUP(B114,'Custo mao de obra Dnit'!A:AB,28,0)</f>
        <v>65.018465909090907</v>
      </c>
      <c r="F114" s="236">
        <f t="shared" ref="F114:F123" si="12">D114*E114</f>
        <v>762.88333333333321</v>
      </c>
    </row>
    <row r="115" spans="1:6">
      <c r="A115" s="96"/>
      <c r="B115" s="239" t="s">
        <v>57</v>
      </c>
      <c r="C115" s="38" t="s">
        <v>46</v>
      </c>
      <c r="D115" s="251">
        <f>HLOOKUP(B115,'Estimativa de horas por produto'!$F$33:$P$85,38,0)</f>
        <v>11.733333333333333</v>
      </c>
      <c r="E115" s="148">
        <f>VLOOKUP(B115,'Custo mao de obra Dnit'!A:AB,28,0)</f>
        <v>75.596358262926245</v>
      </c>
      <c r="F115" s="236">
        <f t="shared" si="12"/>
        <v>886.99727028500126</v>
      </c>
    </row>
    <row r="116" spans="1:6">
      <c r="A116" s="96"/>
      <c r="B116" s="239" t="s">
        <v>58</v>
      </c>
      <c r="C116" s="38" t="s">
        <v>46</v>
      </c>
      <c r="D116" s="251">
        <f>HLOOKUP(B116,'Estimativa de horas por produto'!$F$33:$P$85,38,0)</f>
        <v>17.600000000000001</v>
      </c>
      <c r="E116" s="148">
        <f>VLOOKUP(B116,'Custo mao de obra Dnit'!A:AB,28,0)</f>
        <v>53.100624999999994</v>
      </c>
      <c r="F116" s="236">
        <f t="shared" si="12"/>
        <v>934.57099999999991</v>
      </c>
    </row>
    <row r="117" spans="1:6">
      <c r="A117" s="96"/>
      <c r="B117" s="239" t="s">
        <v>59</v>
      </c>
      <c r="C117" s="38" t="s">
        <v>46</v>
      </c>
      <c r="D117" s="251">
        <f>HLOOKUP(B117,'Estimativa de horas por produto'!$F$33:$P$85,38,0)</f>
        <v>11.733333333333333</v>
      </c>
      <c r="E117" s="148">
        <f>VLOOKUP(B117,'Custo mao de obra Dnit'!A:AB,28,0)</f>
        <v>121.47482954545454</v>
      </c>
      <c r="F117" s="236">
        <f t="shared" si="12"/>
        <v>1425.3046666666664</v>
      </c>
    </row>
    <row r="118" spans="1:6">
      <c r="A118" s="96"/>
      <c r="B118" s="239" t="s">
        <v>60</v>
      </c>
      <c r="C118" s="38" t="s">
        <v>46</v>
      </c>
      <c r="D118" s="251">
        <f>HLOOKUP(B118,'Estimativa de horas por produto'!$F$33:$P$85,38,0)</f>
        <v>5.8666666666666663</v>
      </c>
      <c r="E118" s="148">
        <f>VLOOKUP(B118,'Custo mao de obra Dnit'!A:AB,28,0)</f>
        <v>45.856761363636366</v>
      </c>
      <c r="F118" s="236">
        <f t="shared" si="12"/>
        <v>269.02633333333335</v>
      </c>
    </row>
    <row r="119" spans="1:6">
      <c r="A119" s="96"/>
      <c r="B119" s="239" t="s">
        <v>61</v>
      </c>
      <c r="C119" s="38" t="s">
        <v>46</v>
      </c>
      <c r="D119" s="251">
        <f>HLOOKUP(B119,'Estimativa de horas por produto'!$F$33:$P$85,38,0)</f>
        <v>1.9555555555555553</v>
      </c>
      <c r="E119" s="148">
        <f>VLOOKUP(B119,'Custo mao de obra Dnit'!A:AB,28,0)</f>
        <v>95.24392045454546</v>
      </c>
      <c r="F119" s="236">
        <f t="shared" si="12"/>
        <v>186.25477777777778</v>
      </c>
    </row>
    <row r="120" spans="1:6">
      <c r="A120" s="96"/>
      <c r="B120" s="239" t="s">
        <v>62</v>
      </c>
      <c r="C120" s="38" t="s">
        <v>46</v>
      </c>
      <c r="D120" s="251">
        <f>HLOOKUP(B120,'Estimativa de horas por produto'!$F$33:$P$85,38,0)</f>
        <v>5.8666666666666663</v>
      </c>
      <c r="E120" s="148">
        <f>VLOOKUP(B120,'Custo mao de obra Dnit'!A:AB,28,0)</f>
        <v>95.230852272727276</v>
      </c>
      <c r="F120" s="236">
        <f t="shared" si="12"/>
        <v>558.6876666666667</v>
      </c>
    </row>
    <row r="121" spans="1:6">
      <c r="A121" s="96"/>
      <c r="B121" s="239" t="s">
        <v>63</v>
      </c>
      <c r="C121" s="38" t="s">
        <v>46</v>
      </c>
      <c r="D121" s="251">
        <f>HLOOKUP(B121,'Estimativa de horas por produto'!$F$33:$P$85,38,0)</f>
        <v>5.8666666666666663</v>
      </c>
      <c r="E121" s="148">
        <f>VLOOKUP(B121,'Custo mao de obra Dnit'!A:AB,28,0)</f>
        <v>107.9440909090909</v>
      </c>
      <c r="F121" s="236">
        <f t="shared" si="12"/>
        <v>633.27199999999993</v>
      </c>
    </row>
    <row r="122" spans="1:6">
      <c r="A122" s="96"/>
      <c r="B122" s="239" t="s">
        <v>64</v>
      </c>
      <c r="C122" s="38" t="s">
        <v>46</v>
      </c>
      <c r="D122" s="251">
        <f>HLOOKUP(B122,'Estimativa de horas por produto'!$F$33:$P$85,38,0)</f>
        <v>43.022222222222226</v>
      </c>
      <c r="E122" s="148">
        <f>VLOOKUP(B122,'Custo mao de obra Dnit'!A:AB,28,0)</f>
        <v>95.230852272727276</v>
      </c>
      <c r="F122" s="236">
        <f t="shared" si="12"/>
        <v>4097.0428888888891</v>
      </c>
    </row>
    <row r="123" spans="1:6">
      <c r="A123" s="96"/>
      <c r="B123" s="239" t="s">
        <v>65</v>
      </c>
      <c r="C123" s="38" t="s">
        <v>46</v>
      </c>
      <c r="D123" s="251">
        <f>HLOOKUP(B123,'Estimativa de horas por produto'!$F$33:$P$85,38,0)</f>
        <v>11.733333333333333</v>
      </c>
      <c r="E123" s="148">
        <f>VLOOKUP(B123,'Custo mao de obra Dnit'!A:AB,28,0)</f>
        <v>107.9440909090909</v>
      </c>
      <c r="F123" s="236">
        <f t="shared" si="12"/>
        <v>1266.5439999999999</v>
      </c>
    </row>
    <row r="124" spans="1:6">
      <c r="A124" s="96"/>
      <c r="B124" s="239"/>
      <c r="C124" s="38"/>
      <c r="D124" s="251"/>
      <c r="E124" s="148"/>
      <c r="F124" s="236"/>
    </row>
    <row r="125" spans="1:6">
      <c r="A125" s="242">
        <v>2</v>
      </c>
      <c r="B125" s="237" t="s">
        <v>201</v>
      </c>
      <c r="C125" s="245"/>
      <c r="D125" s="243"/>
      <c r="E125" s="45"/>
      <c r="F125" s="238">
        <f>SUM(F126:F128)</f>
        <v>5311.2712743965085</v>
      </c>
    </row>
    <row r="126" spans="1:6">
      <c r="A126" s="234"/>
      <c r="B126" s="239" t="s">
        <v>223</v>
      </c>
      <c r="C126" s="240" t="s">
        <v>19</v>
      </c>
      <c r="D126" s="244">
        <f>$F$8</f>
        <v>12190.202603618334</v>
      </c>
      <c r="E126" s="252">
        <f>'Custos diversos e BDI - DNIT'!$D$30/100</f>
        <v>0.11110000000000002</v>
      </c>
      <c r="F126" s="236">
        <f>D126*E126</f>
        <v>1354.3315092619971</v>
      </c>
    </row>
    <row r="127" spans="1:6">
      <c r="A127" s="234"/>
      <c r="B127" s="239" t="s">
        <v>224</v>
      </c>
      <c r="C127" s="240" t="s">
        <v>19</v>
      </c>
      <c r="D127" s="244">
        <f t="shared" ref="D127:D128" si="13">$F$8</f>
        <v>12190.202603618334</v>
      </c>
      <c r="E127" s="252">
        <f>'Custos diversos e BDI - DNIT'!$D$33/100</f>
        <v>0.12</v>
      </c>
      <c r="F127" s="236">
        <f t="shared" ref="F127:F128" si="14">D127*E127</f>
        <v>1462.8243124342</v>
      </c>
    </row>
    <row r="128" spans="1:6">
      <c r="A128" s="234"/>
      <c r="B128" s="239" t="s">
        <v>225</v>
      </c>
      <c r="C128" s="240" t="s">
        <v>19</v>
      </c>
      <c r="D128" s="244">
        <f t="shared" si="13"/>
        <v>12190.202603618334</v>
      </c>
      <c r="E128" s="252">
        <f>'Custos diversos e BDI - DNIT'!$D$38/100</f>
        <v>0.2046</v>
      </c>
      <c r="F128" s="236">
        <f t="shared" si="14"/>
        <v>2494.1154527003114</v>
      </c>
    </row>
    <row r="129" spans="1:6">
      <c r="A129" s="234"/>
      <c r="B129" s="239"/>
      <c r="C129" s="49"/>
      <c r="D129" s="244"/>
      <c r="E129" s="252"/>
      <c r="F129" s="236"/>
    </row>
    <row r="130" spans="1:6">
      <c r="A130" s="102" t="s">
        <v>47</v>
      </c>
      <c r="B130" s="103" t="s">
        <v>10</v>
      </c>
      <c r="C130" s="104" t="s">
        <v>46</v>
      </c>
      <c r="D130" s="105">
        <f>SUM(D113:D123)</f>
        <v>150.57777777777775</v>
      </c>
      <c r="E130" s="150">
        <f>'Custo Gerencial'!$G$48</f>
        <v>39.25</v>
      </c>
      <c r="F130" s="106">
        <f>D130*E130</f>
        <v>5910.177777777777</v>
      </c>
    </row>
    <row r="131" spans="1:6">
      <c r="A131" s="234"/>
      <c r="B131" s="239"/>
      <c r="C131" s="49"/>
      <c r="D131" s="244"/>
      <c r="E131" s="246"/>
      <c r="F131" s="236"/>
    </row>
    <row r="132" spans="1:6" ht="13.8" thickBot="1">
      <c r="A132" s="107"/>
      <c r="B132" s="247" t="s">
        <v>73</v>
      </c>
      <c r="C132" s="109" t="s">
        <v>21</v>
      </c>
      <c r="D132" s="110">
        <v>1</v>
      </c>
      <c r="E132" s="223">
        <f>F111</f>
        <v>23411.651655792622</v>
      </c>
      <c r="F132" s="112">
        <f>E132*D132</f>
        <v>23411.651655792622</v>
      </c>
    </row>
  </sheetData>
  <sheetProtection algorithmName="SHA-512" hashValue="XbzIhtWuJeHp/expAEBBZjTv1L7eHGKNB85w0wXGX/gfPLGTmmrc2qHhNxQ3CNN66FW4dpZkMJEAHeOyIKowsA==" saltValue="J5cU9nCRhC5Ei13QqZdrQA==" spinCount="100000" sheet="1" objects="1" scenarios="1"/>
  <mergeCells count="7">
    <mergeCell ref="B57:F57"/>
    <mergeCell ref="B83:F83"/>
    <mergeCell ref="B109:F109"/>
    <mergeCell ref="B31:F31"/>
    <mergeCell ref="A1:B1"/>
    <mergeCell ref="C1:E1"/>
    <mergeCell ref="B5:F5"/>
  </mergeCells>
  <printOptions horizontalCentered="1"/>
  <pageMargins left="0.39370078740157483" right="0.39370078740157483" top="1.1811023622047245" bottom="0.59055118110236227" header="0.39370078740157483" footer="0.39370078740157483"/>
  <pageSetup paperSize="9" scale="50" firstPageNumber="0" fitToHeight="0" orientation="portrait" r:id="rId1"/>
  <headerFooter alignWithMargins="0">
    <oddHeader>&amp;L&amp;G</oddHeader>
    <oddFooter>&amp;A</oddFooter>
  </headerFooter>
  <rowBreaks count="1" manualBreakCount="1">
    <brk id="55" max="5" man="1"/>
  </rowBreaks>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M257"/>
  <sheetViews>
    <sheetView showGridLines="0" zoomScale="85" zoomScaleNormal="85" zoomScaleSheetLayoutView="85" zoomScalePageLayoutView="85" workbookViewId="0">
      <pane ySplit="1" topLeftCell="A2" activePane="bottomLeft" state="frozen"/>
      <selection activeCell="Q146" sqref="Q146"/>
      <selection pane="bottomLeft" activeCell="F8" sqref="F8"/>
    </sheetView>
  </sheetViews>
  <sheetFormatPr defaultColWidth="8.6640625" defaultRowHeight="13.2"/>
  <cols>
    <col min="1" max="1" width="12.44140625" style="70" customWidth="1"/>
    <col min="2" max="2" width="72.5546875" style="70" customWidth="1"/>
    <col min="3" max="3" width="12.6640625" style="70" customWidth="1"/>
    <col min="4" max="4" width="13.5546875" style="86" customWidth="1"/>
    <col min="5" max="5" width="14.44140625" style="86" customWidth="1"/>
    <col min="6" max="6" width="15.109375" style="86" customWidth="1"/>
    <col min="7" max="7" width="13.109375" style="86" bestFit="1" customWidth="1"/>
    <col min="8" max="8" width="14.6640625" style="86" customWidth="1"/>
    <col min="9" max="9" width="13.33203125" style="86" customWidth="1"/>
    <col min="10" max="10" width="18.5546875" style="86" customWidth="1"/>
    <col min="11" max="12" width="8.6640625" style="86" customWidth="1"/>
    <col min="13" max="218" width="8.6640625" style="86"/>
    <col min="219" max="219" width="12.6640625" style="86" customWidth="1"/>
    <col min="220" max="220" width="60.33203125" style="86" customWidth="1"/>
    <col min="221" max="222" width="12.6640625" style="86" customWidth="1"/>
    <col min="223" max="223" width="12.33203125" style="86" bestFit="1" customWidth="1"/>
    <col min="224" max="224" width="15.6640625" style="86" customWidth="1"/>
    <col min="225" max="225" width="17.6640625" style="86" bestFit="1" customWidth="1"/>
    <col min="226" max="226" width="8.6640625" style="86"/>
    <col min="227" max="227" width="18" style="86" bestFit="1" customWidth="1"/>
    <col min="228" max="229" width="8.6640625" style="86"/>
    <col min="230" max="230" width="21.6640625" style="86" customWidth="1"/>
    <col min="231" max="231" width="9.44140625" style="86" bestFit="1" customWidth="1"/>
    <col min="232" max="474" width="8.6640625" style="86"/>
    <col min="475" max="475" width="12.6640625" style="86" customWidth="1"/>
    <col min="476" max="476" width="60.33203125" style="86" customWidth="1"/>
    <col min="477" max="478" width="12.6640625" style="86" customWidth="1"/>
    <col min="479" max="479" width="12.33203125" style="86" bestFit="1" customWidth="1"/>
    <col min="480" max="480" width="15.6640625" style="86" customWidth="1"/>
    <col min="481" max="481" width="17.6640625" style="86" bestFit="1" customWidth="1"/>
    <col min="482" max="482" width="8.6640625" style="86"/>
    <col min="483" max="483" width="18" style="86" bestFit="1" customWidth="1"/>
    <col min="484" max="485" width="8.6640625" style="86"/>
    <col min="486" max="486" width="21.6640625" style="86" customWidth="1"/>
    <col min="487" max="487" width="9.44140625" style="86" bestFit="1" customWidth="1"/>
    <col min="488" max="730" width="8.6640625" style="86"/>
    <col min="731" max="731" width="12.6640625" style="86" customWidth="1"/>
    <col min="732" max="732" width="60.33203125" style="86" customWidth="1"/>
    <col min="733" max="734" width="12.6640625" style="86" customWidth="1"/>
    <col min="735" max="735" width="12.33203125" style="86" bestFit="1" customWidth="1"/>
    <col min="736" max="736" width="15.6640625" style="86" customWidth="1"/>
    <col min="737" max="737" width="17.6640625" style="86" bestFit="1" customWidth="1"/>
    <col min="738" max="738" width="8.6640625" style="86"/>
    <col min="739" max="739" width="18" style="86" bestFit="1" customWidth="1"/>
    <col min="740" max="741" width="8.6640625" style="86"/>
    <col min="742" max="742" width="21.6640625" style="86" customWidth="1"/>
    <col min="743" max="743" width="9.44140625" style="86" bestFit="1" customWidth="1"/>
    <col min="744" max="986" width="8.6640625" style="86"/>
    <col min="987" max="987" width="12.6640625" style="86" customWidth="1"/>
    <col min="988" max="988" width="60.33203125" style="86" customWidth="1"/>
    <col min="989" max="990" width="12.6640625" style="86" customWidth="1"/>
    <col min="991" max="991" width="12.33203125" style="86" bestFit="1" customWidth="1"/>
    <col min="992" max="992" width="15.6640625" style="86" customWidth="1"/>
    <col min="993" max="993" width="17.6640625" style="86" bestFit="1" customWidth="1"/>
    <col min="994" max="994" width="8.6640625" style="86"/>
    <col min="995" max="995" width="18" style="86" bestFit="1" customWidth="1"/>
    <col min="996" max="997" width="8.6640625" style="86"/>
    <col min="998" max="998" width="21.6640625" style="86" customWidth="1"/>
    <col min="999" max="999" width="9.44140625" style="86" bestFit="1" customWidth="1"/>
    <col min="1000" max="1242" width="8.6640625" style="86"/>
    <col min="1243" max="1243" width="12.6640625" style="86" customWidth="1"/>
    <col min="1244" max="1244" width="60.33203125" style="86" customWidth="1"/>
    <col min="1245" max="1246" width="12.6640625" style="86" customWidth="1"/>
    <col min="1247" max="1247" width="12.33203125" style="86" bestFit="1" customWidth="1"/>
    <col min="1248" max="1248" width="15.6640625" style="86" customWidth="1"/>
    <col min="1249" max="1249" width="17.6640625" style="86" bestFit="1" customWidth="1"/>
    <col min="1250" max="1250" width="8.6640625" style="86"/>
    <col min="1251" max="1251" width="18" style="86" bestFit="1" customWidth="1"/>
    <col min="1252" max="1253" width="8.6640625" style="86"/>
    <col min="1254" max="1254" width="21.6640625" style="86" customWidth="1"/>
    <col min="1255" max="1255" width="9.44140625" style="86" bestFit="1" customWidth="1"/>
    <col min="1256" max="1498" width="8.6640625" style="86"/>
    <col min="1499" max="1499" width="12.6640625" style="86" customWidth="1"/>
    <col min="1500" max="1500" width="60.33203125" style="86" customWidth="1"/>
    <col min="1501" max="1502" width="12.6640625" style="86" customWidth="1"/>
    <col min="1503" max="1503" width="12.33203125" style="86" bestFit="1" customWidth="1"/>
    <col min="1504" max="1504" width="15.6640625" style="86" customWidth="1"/>
    <col min="1505" max="1505" width="17.6640625" style="86" bestFit="1" customWidth="1"/>
    <col min="1506" max="1506" width="8.6640625" style="86"/>
    <col min="1507" max="1507" width="18" style="86" bestFit="1" customWidth="1"/>
    <col min="1508" max="1509" width="8.6640625" style="86"/>
    <col min="1510" max="1510" width="21.6640625" style="86" customWidth="1"/>
    <col min="1511" max="1511" width="9.44140625" style="86" bestFit="1" customWidth="1"/>
    <col min="1512" max="1754" width="8.6640625" style="86"/>
    <col min="1755" max="1755" width="12.6640625" style="86" customWidth="1"/>
    <col min="1756" max="1756" width="60.33203125" style="86" customWidth="1"/>
    <col min="1757" max="1758" width="12.6640625" style="86" customWidth="1"/>
    <col min="1759" max="1759" width="12.33203125" style="86" bestFit="1" customWidth="1"/>
    <col min="1760" max="1760" width="15.6640625" style="86" customWidth="1"/>
    <col min="1761" max="1761" width="17.6640625" style="86" bestFit="1" customWidth="1"/>
    <col min="1762" max="1762" width="8.6640625" style="86"/>
    <col min="1763" max="1763" width="18" style="86" bestFit="1" customWidth="1"/>
    <col min="1764" max="1765" width="8.6640625" style="86"/>
    <col min="1766" max="1766" width="21.6640625" style="86" customWidth="1"/>
    <col min="1767" max="1767" width="9.44140625" style="86" bestFit="1" customWidth="1"/>
    <col min="1768" max="2010" width="8.6640625" style="86"/>
    <col min="2011" max="2011" width="12.6640625" style="86" customWidth="1"/>
    <col min="2012" max="2012" width="60.33203125" style="86" customWidth="1"/>
    <col min="2013" max="2014" width="12.6640625" style="86" customWidth="1"/>
    <col min="2015" max="2015" width="12.33203125" style="86" bestFit="1" customWidth="1"/>
    <col min="2016" max="2016" width="15.6640625" style="86" customWidth="1"/>
    <col min="2017" max="2017" width="17.6640625" style="86" bestFit="1" customWidth="1"/>
    <col min="2018" max="2018" width="8.6640625" style="86"/>
    <col min="2019" max="2019" width="18" style="86" bestFit="1" customWidth="1"/>
    <col min="2020" max="2021" width="8.6640625" style="86"/>
    <col min="2022" max="2022" width="21.6640625" style="86" customWidth="1"/>
    <col min="2023" max="2023" width="9.44140625" style="86" bestFit="1" customWidth="1"/>
    <col min="2024" max="2266" width="8.6640625" style="86"/>
    <col min="2267" max="2267" width="12.6640625" style="86" customWidth="1"/>
    <col min="2268" max="2268" width="60.33203125" style="86" customWidth="1"/>
    <col min="2269" max="2270" width="12.6640625" style="86" customWidth="1"/>
    <col min="2271" max="2271" width="12.33203125" style="86" bestFit="1" customWidth="1"/>
    <col min="2272" max="2272" width="15.6640625" style="86" customWidth="1"/>
    <col min="2273" max="2273" width="17.6640625" style="86" bestFit="1" customWidth="1"/>
    <col min="2274" max="2274" width="8.6640625" style="86"/>
    <col min="2275" max="2275" width="18" style="86" bestFit="1" customWidth="1"/>
    <col min="2276" max="2277" width="8.6640625" style="86"/>
    <col min="2278" max="2278" width="21.6640625" style="86" customWidth="1"/>
    <col min="2279" max="2279" width="9.44140625" style="86" bestFit="1" customWidth="1"/>
    <col min="2280" max="2522" width="8.6640625" style="86"/>
    <col min="2523" max="2523" width="12.6640625" style="86" customWidth="1"/>
    <col min="2524" max="2524" width="60.33203125" style="86" customWidth="1"/>
    <col min="2525" max="2526" width="12.6640625" style="86" customWidth="1"/>
    <col min="2527" max="2527" width="12.33203125" style="86" bestFit="1" customWidth="1"/>
    <col min="2528" max="2528" width="15.6640625" style="86" customWidth="1"/>
    <col min="2529" max="2529" width="17.6640625" style="86" bestFit="1" customWidth="1"/>
    <col min="2530" max="2530" width="8.6640625" style="86"/>
    <col min="2531" max="2531" width="18" style="86" bestFit="1" customWidth="1"/>
    <col min="2532" max="2533" width="8.6640625" style="86"/>
    <col min="2534" max="2534" width="21.6640625" style="86" customWidth="1"/>
    <col min="2535" max="2535" width="9.44140625" style="86" bestFit="1" customWidth="1"/>
    <col min="2536" max="2778" width="8.6640625" style="86"/>
    <col min="2779" max="2779" width="12.6640625" style="86" customWidth="1"/>
    <col min="2780" max="2780" width="60.33203125" style="86" customWidth="1"/>
    <col min="2781" max="2782" width="12.6640625" style="86" customWidth="1"/>
    <col min="2783" max="2783" width="12.33203125" style="86" bestFit="1" customWidth="1"/>
    <col min="2784" max="2784" width="15.6640625" style="86" customWidth="1"/>
    <col min="2785" max="2785" width="17.6640625" style="86" bestFit="1" customWidth="1"/>
    <col min="2786" max="2786" width="8.6640625" style="86"/>
    <col min="2787" max="2787" width="18" style="86" bestFit="1" customWidth="1"/>
    <col min="2788" max="2789" width="8.6640625" style="86"/>
    <col min="2790" max="2790" width="21.6640625" style="86" customWidth="1"/>
    <col min="2791" max="2791" width="9.44140625" style="86" bestFit="1" customWidth="1"/>
    <col min="2792" max="3034" width="8.6640625" style="86"/>
    <col min="3035" max="3035" width="12.6640625" style="86" customWidth="1"/>
    <col min="3036" max="3036" width="60.33203125" style="86" customWidth="1"/>
    <col min="3037" max="3038" width="12.6640625" style="86" customWidth="1"/>
    <col min="3039" max="3039" width="12.33203125" style="86" bestFit="1" customWidth="1"/>
    <col min="3040" max="3040" width="15.6640625" style="86" customWidth="1"/>
    <col min="3041" max="3041" width="17.6640625" style="86" bestFit="1" customWidth="1"/>
    <col min="3042" max="3042" width="8.6640625" style="86"/>
    <col min="3043" max="3043" width="18" style="86" bestFit="1" customWidth="1"/>
    <col min="3044" max="3045" width="8.6640625" style="86"/>
    <col min="3046" max="3046" width="21.6640625" style="86" customWidth="1"/>
    <col min="3047" max="3047" width="9.44140625" style="86" bestFit="1" customWidth="1"/>
    <col min="3048" max="3290" width="8.6640625" style="86"/>
    <col min="3291" max="3291" width="12.6640625" style="86" customWidth="1"/>
    <col min="3292" max="3292" width="60.33203125" style="86" customWidth="1"/>
    <col min="3293" max="3294" width="12.6640625" style="86" customWidth="1"/>
    <col min="3295" max="3295" width="12.33203125" style="86" bestFit="1" customWidth="1"/>
    <col min="3296" max="3296" width="15.6640625" style="86" customWidth="1"/>
    <col min="3297" max="3297" width="17.6640625" style="86" bestFit="1" customWidth="1"/>
    <col min="3298" max="3298" width="8.6640625" style="86"/>
    <col min="3299" max="3299" width="18" style="86" bestFit="1" customWidth="1"/>
    <col min="3300" max="3301" width="8.6640625" style="86"/>
    <col min="3302" max="3302" width="21.6640625" style="86" customWidth="1"/>
    <col min="3303" max="3303" width="9.44140625" style="86" bestFit="1" customWidth="1"/>
    <col min="3304" max="3546" width="8.6640625" style="86"/>
    <col min="3547" max="3547" width="12.6640625" style="86" customWidth="1"/>
    <col min="3548" max="3548" width="60.33203125" style="86" customWidth="1"/>
    <col min="3549" max="3550" width="12.6640625" style="86" customWidth="1"/>
    <col min="3551" max="3551" width="12.33203125" style="86" bestFit="1" customWidth="1"/>
    <col min="3552" max="3552" width="15.6640625" style="86" customWidth="1"/>
    <col min="3553" max="3553" width="17.6640625" style="86" bestFit="1" customWidth="1"/>
    <col min="3554" max="3554" width="8.6640625" style="86"/>
    <col min="3555" max="3555" width="18" style="86" bestFit="1" customWidth="1"/>
    <col min="3556" max="3557" width="8.6640625" style="86"/>
    <col min="3558" max="3558" width="21.6640625" style="86" customWidth="1"/>
    <col min="3559" max="3559" width="9.44140625" style="86" bestFit="1" customWidth="1"/>
    <col min="3560" max="3802" width="8.6640625" style="86"/>
    <col min="3803" max="3803" width="12.6640625" style="86" customWidth="1"/>
    <col min="3804" max="3804" width="60.33203125" style="86" customWidth="1"/>
    <col min="3805" max="3806" width="12.6640625" style="86" customWidth="1"/>
    <col min="3807" max="3807" width="12.33203125" style="86" bestFit="1" customWidth="1"/>
    <col min="3808" max="3808" width="15.6640625" style="86" customWidth="1"/>
    <col min="3809" max="3809" width="17.6640625" style="86" bestFit="1" customWidth="1"/>
    <col min="3810" max="3810" width="8.6640625" style="86"/>
    <col min="3811" max="3811" width="18" style="86" bestFit="1" customWidth="1"/>
    <col min="3812" max="3813" width="8.6640625" style="86"/>
    <col min="3814" max="3814" width="21.6640625" style="86" customWidth="1"/>
    <col min="3815" max="3815" width="9.44140625" style="86" bestFit="1" customWidth="1"/>
    <col min="3816" max="4058" width="8.6640625" style="86"/>
    <col min="4059" max="4059" width="12.6640625" style="86" customWidth="1"/>
    <col min="4060" max="4060" width="60.33203125" style="86" customWidth="1"/>
    <col min="4061" max="4062" width="12.6640625" style="86" customWidth="1"/>
    <col min="4063" max="4063" width="12.33203125" style="86" bestFit="1" customWidth="1"/>
    <col min="4064" max="4064" width="15.6640625" style="86" customWidth="1"/>
    <col min="4065" max="4065" width="17.6640625" style="86" bestFit="1" customWidth="1"/>
    <col min="4066" max="4066" width="8.6640625" style="86"/>
    <col min="4067" max="4067" width="18" style="86" bestFit="1" customWidth="1"/>
    <col min="4068" max="4069" width="8.6640625" style="86"/>
    <col min="4070" max="4070" width="21.6640625" style="86" customWidth="1"/>
    <col min="4071" max="4071" width="9.44140625" style="86" bestFit="1" customWidth="1"/>
    <col min="4072" max="4314" width="8.6640625" style="86"/>
    <col min="4315" max="4315" width="12.6640625" style="86" customWidth="1"/>
    <col min="4316" max="4316" width="60.33203125" style="86" customWidth="1"/>
    <col min="4317" max="4318" width="12.6640625" style="86" customWidth="1"/>
    <col min="4319" max="4319" width="12.33203125" style="86" bestFit="1" customWidth="1"/>
    <col min="4320" max="4320" width="15.6640625" style="86" customWidth="1"/>
    <col min="4321" max="4321" width="17.6640625" style="86" bestFit="1" customWidth="1"/>
    <col min="4322" max="4322" width="8.6640625" style="86"/>
    <col min="4323" max="4323" width="18" style="86" bestFit="1" customWidth="1"/>
    <col min="4324" max="4325" width="8.6640625" style="86"/>
    <col min="4326" max="4326" width="21.6640625" style="86" customWidth="1"/>
    <col min="4327" max="4327" width="9.44140625" style="86" bestFit="1" customWidth="1"/>
    <col min="4328" max="4570" width="8.6640625" style="86"/>
    <col min="4571" max="4571" width="12.6640625" style="86" customWidth="1"/>
    <col min="4572" max="4572" width="60.33203125" style="86" customWidth="1"/>
    <col min="4573" max="4574" width="12.6640625" style="86" customWidth="1"/>
    <col min="4575" max="4575" width="12.33203125" style="86" bestFit="1" customWidth="1"/>
    <col min="4576" max="4576" width="15.6640625" style="86" customWidth="1"/>
    <col min="4577" max="4577" width="17.6640625" style="86" bestFit="1" customWidth="1"/>
    <col min="4578" max="4578" width="8.6640625" style="86"/>
    <col min="4579" max="4579" width="18" style="86" bestFit="1" customWidth="1"/>
    <col min="4580" max="4581" width="8.6640625" style="86"/>
    <col min="4582" max="4582" width="21.6640625" style="86" customWidth="1"/>
    <col min="4583" max="4583" width="9.44140625" style="86" bestFit="1" customWidth="1"/>
    <col min="4584" max="4826" width="8.6640625" style="86"/>
    <col min="4827" max="4827" width="12.6640625" style="86" customWidth="1"/>
    <col min="4828" max="4828" width="60.33203125" style="86" customWidth="1"/>
    <col min="4829" max="4830" width="12.6640625" style="86" customWidth="1"/>
    <col min="4831" max="4831" width="12.33203125" style="86" bestFit="1" customWidth="1"/>
    <col min="4832" max="4832" width="15.6640625" style="86" customWidth="1"/>
    <col min="4833" max="4833" width="17.6640625" style="86" bestFit="1" customWidth="1"/>
    <col min="4834" max="4834" width="8.6640625" style="86"/>
    <col min="4835" max="4835" width="18" style="86" bestFit="1" customWidth="1"/>
    <col min="4836" max="4837" width="8.6640625" style="86"/>
    <col min="4838" max="4838" width="21.6640625" style="86" customWidth="1"/>
    <col min="4839" max="4839" width="9.44140625" style="86" bestFit="1" customWidth="1"/>
    <col min="4840" max="5082" width="8.6640625" style="86"/>
    <col min="5083" max="5083" width="12.6640625" style="86" customWidth="1"/>
    <col min="5084" max="5084" width="60.33203125" style="86" customWidth="1"/>
    <col min="5085" max="5086" width="12.6640625" style="86" customWidth="1"/>
    <col min="5087" max="5087" width="12.33203125" style="86" bestFit="1" customWidth="1"/>
    <col min="5088" max="5088" width="15.6640625" style="86" customWidth="1"/>
    <col min="5089" max="5089" width="17.6640625" style="86" bestFit="1" customWidth="1"/>
    <col min="5090" max="5090" width="8.6640625" style="86"/>
    <col min="5091" max="5091" width="18" style="86" bestFit="1" customWidth="1"/>
    <col min="5092" max="5093" width="8.6640625" style="86"/>
    <col min="5094" max="5094" width="21.6640625" style="86" customWidth="1"/>
    <col min="5095" max="5095" width="9.44140625" style="86" bestFit="1" customWidth="1"/>
    <col min="5096" max="5338" width="8.6640625" style="86"/>
    <col min="5339" max="5339" width="12.6640625" style="86" customWidth="1"/>
    <col min="5340" max="5340" width="60.33203125" style="86" customWidth="1"/>
    <col min="5341" max="5342" width="12.6640625" style="86" customWidth="1"/>
    <col min="5343" max="5343" width="12.33203125" style="86" bestFit="1" customWidth="1"/>
    <col min="5344" max="5344" width="15.6640625" style="86" customWidth="1"/>
    <col min="5345" max="5345" width="17.6640625" style="86" bestFit="1" customWidth="1"/>
    <col min="5346" max="5346" width="8.6640625" style="86"/>
    <col min="5347" max="5347" width="18" style="86" bestFit="1" customWidth="1"/>
    <col min="5348" max="5349" width="8.6640625" style="86"/>
    <col min="5350" max="5350" width="21.6640625" style="86" customWidth="1"/>
    <col min="5351" max="5351" width="9.44140625" style="86" bestFit="1" customWidth="1"/>
    <col min="5352" max="5594" width="8.6640625" style="86"/>
    <col min="5595" max="5595" width="12.6640625" style="86" customWidth="1"/>
    <col min="5596" max="5596" width="60.33203125" style="86" customWidth="1"/>
    <col min="5597" max="5598" width="12.6640625" style="86" customWidth="1"/>
    <col min="5599" max="5599" width="12.33203125" style="86" bestFit="1" customWidth="1"/>
    <col min="5600" max="5600" width="15.6640625" style="86" customWidth="1"/>
    <col min="5601" max="5601" width="17.6640625" style="86" bestFit="1" customWidth="1"/>
    <col min="5602" max="5602" width="8.6640625" style="86"/>
    <col min="5603" max="5603" width="18" style="86" bestFit="1" customWidth="1"/>
    <col min="5604" max="5605" width="8.6640625" style="86"/>
    <col min="5606" max="5606" width="21.6640625" style="86" customWidth="1"/>
    <col min="5607" max="5607" width="9.44140625" style="86" bestFit="1" customWidth="1"/>
    <col min="5608" max="5850" width="8.6640625" style="86"/>
    <col min="5851" max="5851" width="12.6640625" style="86" customWidth="1"/>
    <col min="5852" max="5852" width="60.33203125" style="86" customWidth="1"/>
    <col min="5853" max="5854" width="12.6640625" style="86" customWidth="1"/>
    <col min="5855" max="5855" width="12.33203125" style="86" bestFit="1" customWidth="1"/>
    <col min="5856" max="5856" width="15.6640625" style="86" customWidth="1"/>
    <col min="5857" max="5857" width="17.6640625" style="86" bestFit="1" customWidth="1"/>
    <col min="5858" max="5858" width="8.6640625" style="86"/>
    <col min="5859" max="5859" width="18" style="86" bestFit="1" customWidth="1"/>
    <col min="5860" max="5861" width="8.6640625" style="86"/>
    <col min="5862" max="5862" width="21.6640625" style="86" customWidth="1"/>
    <col min="5863" max="5863" width="9.44140625" style="86" bestFit="1" customWidth="1"/>
    <col min="5864" max="6106" width="8.6640625" style="86"/>
    <col min="6107" max="6107" width="12.6640625" style="86" customWidth="1"/>
    <col min="6108" max="6108" width="60.33203125" style="86" customWidth="1"/>
    <col min="6109" max="6110" width="12.6640625" style="86" customWidth="1"/>
    <col min="6111" max="6111" width="12.33203125" style="86" bestFit="1" customWidth="1"/>
    <col min="6112" max="6112" width="15.6640625" style="86" customWidth="1"/>
    <col min="6113" max="6113" width="17.6640625" style="86" bestFit="1" customWidth="1"/>
    <col min="6114" max="6114" width="8.6640625" style="86"/>
    <col min="6115" max="6115" width="18" style="86" bestFit="1" customWidth="1"/>
    <col min="6116" max="6117" width="8.6640625" style="86"/>
    <col min="6118" max="6118" width="21.6640625" style="86" customWidth="1"/>
    <col min="6119" max="6119" width="9.44140625" style="86" bestFit="1" customWidth="1"/>
    <col min="6120" max="6362" width="8.6640625" style="86"/>
    <col min="6363" max="6363" width="12.6640625" style="86" customWidth="1"/>
    <col min="6364" max="6364" width="60.33203125" style="86" customWidth="1"/>
    <col min="6365" max="6366" width="12.6640625" style="86" customWidth="1"/>
    <col min="6367" max="6367" width="12.33203125" style="86" bestFit="1" customWidth="1"/>
    <col min="6368" max="6368" width="15.6640625" style="86" customWidth="1"/>
    <col min="6369" max="6369" width="17.6640625" style="86" bestFit="1" customWidth="1"/>
    <col min="6370" max="6370" width="8.6640625" style="86"/>
    <col min="6371" max="6371" width="18" style="86" bestFit="1" customWidth="1"/>
    <col min="6372" max="6373" width="8.6640625" style="86"/>
    <col min="6374" max="6374" width="21.6640625" style="86" customWidth="1"/>
    <col min="6375" max="6375" width="9.44140625" style="86" bestFit="1" customWidth="1"/>
    <col min="6376" max="6618" width="8.6640625" style="86"/>
    <col min="6619" max="6619" width="12.6640625" style="86" customWidth="1"/>
    <col min="6620" max="6620" width="60.33203125" style="86" customWidth="1"/>
    <col min="6621" max="6622" width="12.6640625" style="86" customWidth="1"/>
    <col min="6623" max="6623" width="12.33203125" style="86" bestFit="1" customWidth="1"/>
    <col min="6624" max="6624" width="15.6640625" style="86" customWidth="1"/>
    <col min="6625" max="6625" width="17.6640625" style="86" bestFit="1" customWidth="1"/>
    <col min="6626" max="6626" width="8.6640625" style="86"/>
    <col min="6627" max="6627" width="18" style="86" bestFit="1" customWidth="1"/>
    <col min="6628" max="6629" width="8.6640625" style="86"/>
    <col min="6630" max="6630" width="21.6640625" style="86" customWidth="1"/>
    <col min="6631" max="6631" width="9.44140625" style="86" bestFit="1" customWidth="1"/>
    <col min="6632" max="6874" width="8.6640625" style="86"/>
    <col min="6875" max="6875" width="12.6640625" style="86" customWidth="1"/>
    <col min="6876" max="6876" width="60.33203125" style="86" customWidth="1"/>
    <col min="6877" max="6878" width="12.6640625" style="86" customWidth="1"/>
    <col min="6879" max="6879" width="12.33203125" style="86" bestFit="1" customWidth="1"/>
    <col min="6880" max="6880" width="15.6640625" style="86" customWidth="1"/>
    <col min="6881" max="6881" width="17.6640625" style="86" bestFit="1" customWidth="1"/>
    <col min="6882" max="6882" width="8.6640625" style="86"/>
    <col min="6883" max="6883" width="18" style="86" bestFit="1" customWidth="1"/>
    <col min="6884" max="6885" width="8.6640625" style="86"/>
    <col min="6886" max="6886" width="21.6640625" style="86" customWidth="1"/>
    <col min="6887" max="6887" width="9.44140625" style="86" bestFit="1" customWidth="1"/>
    <col min="6888" max="7130" width="8.6640625" style="86"/>
    <col min="7131" max="7131" width="12.6640625" style="86" customWidth="1"/>
    <col min="7132" max="7132" width="60.33203125" style="86" customWidth="1"/>
    <col min="7133" max="7134" width="12.6640625" style="86" customWidth="1"/>
    <col min="7135" max="7135" width="12.33203125" style="86" bestFit="1" customWidth="1"/>
    <col min="7136" max="7136" width="15.6640625" style="86" customWidth="1"/>
    <col min="7137" max="7137" width="17.6640625" style="86" bestFit="1" customWidth="1"/>
    <col min="7138" max="7138" width="8.6640625" style="86"/>
    <col min="7139" max="7139" width="18" style="86" bestFit="1" customWidth="1"/>
    <col min="7140" max="7141" width="8.6640625" style="86"/>
    <col min="7142" max="7142" width="21.6640625" style="86" customWidth="1"/>
    <col min="7143" max="7143" width="9.44140625" style="86" bestFit="1" customWidth="1"/>
    <col min="7144" max="7386" width="8.6640625" style="86"/>
    <col min="7387" max="7387" width="12.6640625" style="86" customWidth="1"/>
    <col min="7388" max="7388" width="60.33203125" style="86" customWidth="1"/>
    <col min="7389" max="7390" width="12.6640625" style="86" customWidth="1"/>
    <col min="7391" max="7391" width="12.33203125" style="86" bestFit="1" customWidth="1"/>
    <col min="7392" max="7392" width="15.6640625" style="86" customWidth="1"/>
    <col min="7393" max="7393" width="17.6640625" style="86" bestFit="1" customWidth="1"/>
    <col min="7394" max="7394" width="8.6640625" style="86"/>
    <col min="7395" max="7395" width="18" style="86" bestFit="1" customWidth="1"/>
    <col min="7396" max="7397" width="8.6640625" style="86"/>
    <col min="7398" max="7398" width="21.6640625" style="86" customWidth="1"/>
    <col min="7399" max="7399" width="9.44140625" style="86" bestFit="1" customWidth="1"/>
    <col min="7400" max="7642" width="8.6640625" style="86"/>
    <col min="7643" max="7643" width="12.6640625" style="86" customWidth="1"/>
    <col min="7644" max="7644" width="60.33203125" style="86" customWidth="1"/>
    <col min="7645" max="7646" width="12.6640625" style="86" customWidth="1"/>
    <col min="7647" max="7647" width="12.33203125" style="86" bestFit="1" customWidth="1"/>
    <col min="7648" max="7648" width="15.6640625" style="86" customWidth="1"/>
    <col min="7649" max="7649" width="17.6640625" style="86" bestFit="1" customWidth="1"/>
    <col min="7650" max="7650" width="8.6640625" style="86"/>
    <col min="7651" max="7651" width="18" style="86" bestFit="1" customWidth="1"/>
    <col min="7652" max="7653" width="8.6640625" style="86"/>
    <col min="7654" max="7654" width="21.6640625" style="86" customWidth="1"/>
    <col min="7655" max="7655" width="9.44140625" style="86" bestFit="1" customWidth="1"/>
    <col min="7656" max="7898" width="8.6640625" style="86"/>
    <col min="7899" max="7899" width="12.6640625" style="86" customWidth="1"/>
    <col min="7900" max="7900" width="60.33203125" style="86" customWidth="1"/>
    <col min="7901" max="7902" width="12.6640625" style="86" customWidth="1"/>
    <col min="7903" max="7903" width="12.33203125" style="86" bestFit="1" customWidth="1"/>
    <col min="7904" max="7904" width="15.6640625" style="86" customWidth="1"/>
    <col min="7905" max="7905" width="17.6640625" style="86" bestFit="1" customWidth="1"/>
    <col min="7906" max="7906" width="8.6640625" style="86"/>
    <col min="7907" max="7907" width="18" style="86" bestFit="1" customWidth="1"/>
    <col min="7908" max="7909" width="8.6640625" style="86"/>
    <col min="7910" max="7910" width="21.6640625" style="86" customWidth="1"/>
    <col min="7911" max="7911" width="9.44140625" style="86" bestFit="1" customWidth="1"/>
    <col min="7912" max="8154" width="8.6640625" style="86"/>
    <col min="8155" max="8155" width="12.6640625" style="86" customWidth="1"/>
    <col min="8156" max="8156" width="60.33203125" style="86" customWidth="1"/>
    <col min="8157" max="8158" width="12.6640625" style="86" customWidth="1"/>
    <col min="8159" max="8159" width="12.33203125" style="86" bestFit="1" customWidth="1"/>
    <col min="8160" max="8160" width="15.6640625" style="86" customWidth="1"/>
    <col min="8161" max="8161" width="17.6640625" style="86" bestFit="1" customWidth="1"/>
    <col min="8162" max="8162" width="8.6640625" style="86"/>
    <col min="8163" max="8163" width="18" style="86" bestFit="1" customWidth="1"/>
    <col min="8164" max="8165" width="8.6640625" style="86"/>
    <col min="8166" max="8166" width="21.6640625" style="86" customWidth="1"/>
    <col min="8167" max="8167" width="9.44140625" style="86" bestFit="1" customWidth="1"/>
    <col min="8168" max="8410" width="8.6640625" style="86"/>
    <col min="8411" max="8411" width="12.6640625" style="86" customWidth="1"/>
    <col min="8412" max="8412" width="60.33203125" style="86" customWidth="1"/>
    <col min="8413" max="8414" width="12.6640625" style="86" customWidth="1"/>
    <col min="8415" max="8415" width="12.33203125" style="86" bestFit="1" customWidth="1"/>
    <col min="8416" max="8416" width="15.6640625" style="86" customWidth="1"/>
    <col min="8417" max="8417" width="17.6640625" style="86" bestFit="1" customWidth="1"/>
    <col min="8418" max="8418" width="8.6640625" style="86"/>
    <col min="8419" max="8419" width="18" style="86" bestFit="1" customWidth="1"/>
    <col min="8420" max="8421" width="8.6640625" style="86"/>
    <col min="8422" max="8422" width="21.6640625" style="86" customWidth="1"/>
    <col min="8423" max="8423" width="9.44140625" style="86" bestFit="1" customWidth="1"/>
    <col min="8424" max="8666" width="8.6640625" style="86"/>
    <col min="8667" max="8667" width="12.6640625" style="86" customWidth="1"/>
    <col min="8668" max="8668" width="60.33203125" style="86" customWidth="1"/>
    <col min="8669" max="8670" width="12.6640625" style="86" customWidth="1"/>
    <col min="8671" max="8671" width="12.33203125" style="86" bestFit="1" customWidth="1"/>
    <col min="8672" max="8672" width="15.6640625" style="86" customWidth="1"/>
    <col min="8673" max="8673" width="17.6640625" style="86" bestFit="1" customWidth="1"/>
    <col min="8674" max="8674" width="8.6640625" style="86"/>
    <col min="8675" max="8675" width="18" style="86" bestFit="1" customWidth="1"/>
    <col min="8676" max="8677" width="8.6640625" style="86"/>
    <col min="8678" max="8678" width="21.6640625" style="86" customWidth="1"/>
    <col min="8679" max="8679" width="9.44140625" style="86" bestFit="1" customWidth="1"/>
    <col min="8680" max="8922" width="8.6640625" style="86"/>
    <col min="8923" max="8923" width="12.6640625" style="86" customWidth="1"/>
    <col min="8924" max="8924" width="60.33203125" style="86" customWidth="1"/>
    <col min="8925" max="8926" width="12.6640625" style="86" customWidth="1"/>
    <col min="8927" max="8927" width="12.33203125" style="86" bestFit="1" customWidth="1"/>
    <col min="8928" max="8928" width="15.6640625" style="86" customWidth="1"/>
    <col min="8929" max="8929" width="17.6640625" style="86" bestFit="1" customWidth="1"/>
    <col min="8930" max="8930" width="8.6640625" style="86"/>
    <col min="8931" max="8931" width="18" style="86" bestFit="1" customWidth="1"/>
    <col min="8932" max="8933" width="8.6640625" style="86"/>
    <col min="8934" max="8934" width="21.6640625" style="86" customWidth="1"/>
    <col min="8935" max="8935" width="9.44140625" style="86" bestFit="1" customWidth="1"/>
    <col min="8936" max="9178" width="8.6640625" style="86"/>
    <col min="9179" max="9179" width="12.6640625" style="86" customWidth="1"/>
    <col min="9180" max="9180" width="60.33203125" style="86" customWidth="1"/>
    <col min="9181" max="9182" width="12.6640625" style="86" customWidth="1"/>
    <col min="9183" max="9183" width="12.33203125" style="86" bestFit="1" customWidth="1"/>
    <col min="9184" max="9184" width="15.6640625" style="86" customWidth="1"/>
    <col min="9185" max="9185" width="17.6640625" style="86" bestFit="1" customWidth="1"/>
    <col min="9186" max="9186" width="8.6640625" style="86"/>
    <col min="9187" max="9187" width="18" style="86" bestFit="1" customWidth="1"/>
    <col min="9188" max="9189" width="8.6640625" style="86"/>
    <col min="9190" max="9190" width="21.6640625" style="86" customWidth="1"/>
    <col min="9191" max="9191" width="9.44140625" style="86" bestFit="1" customWidth="1"/>
    <col min="9192" max="9434" width="8.6640625" style="86"/>
    <col min="9435" max="9435" width="12.6640625" style="86" customWidth="1"/>
    <col min="9436" max="9436" width="60.33203125" style="86" customWidth="1"/>
    <col min="9437" max="9438" width="12.6640625" style="86" customWidth="1"/>
    <col min="9439" max="9439" width="12.33203125" style="86" bestFit="1" customWidth="1"/>
    <col min="9440" max="9440" width="15.6640625" style="86" customWidth="1"/>
    <col min="9441" max="9441" width="17.6640625" style="86" bestFit="1" customWidth="1"/>
    <col min="9442" max="9442" width="8.6640625" style="86"/>
    <col min="9443" max="9443" width="18" style="86" bestFit="1" customWidth="1"/>
    <col min="9444" max="9445" width="8.6640625" style="86"/>
    <col min="9446" max="9446" width="21.6640625" style="86" customWidth="1"/>
    <col min="9447" max="9447" width="9.44140625" style="86" bestFit="1" customWidth="1"/>
    <col min="9448" max="9690" width="8.6640625" style="86"/>
    <col min="9691" max="9691" width="12.6640625" style="86" customWidth="1"/>
    <col min="9692" max="9692" width="60.33203125" style="86" customWidth="1"/>
    <col min="9693" max="9694" width="12.6640625" style="86" customWidth="1"/>
    <col min="9695" max="9695" width="12.33203125" style="86" bestFit="1" customWidth="1"/>
    <col min="9696" max="9696" width="15.6640625" style="86" customWidth="1"/>
    <col min="9697" max="9697" width="17.6640625" style="86" bestFit="1" customWidth="1"/>
    <col min="9698" max="9698" width="8.6640625" style="86"/>
    <col min="9699" max="9699" width="18" style="86" bestFit="1" customWidth="1"/>
    <col min="9700" max="9701" width="8.6640625" style="86"/>
    <col min="9702" max="9702" width="21.6640625" style="86" customWidth="1"/>
    <col min="9703" max="9703" width="9.44140625" style="86" bestFit="1" customWidth="1"/>
    <col min="9704" max="9946" width="8.6640625" style="86"/>
    <col min="9947" max="9947" width="12.6640625" style="86" customWidth="1"/>
    <col min="9948" max="9948" width="60.33203125" style="86" customWidth="1"/>
    <col min="9949" max="9950" width="12.6640625" style="86" customWidth="1"/>
    <col min="9951" max="9951" width="12.33203125" style="86" bestFit="1" customWidth="1"/>
    <col min="9952" max="9952" width="15.6640625" style="86" customWidth="1"/>
    <col min="9953" max="9953" width="17.6640625" style="86" bestFit="1" customWidth="1"/>
    <col min="9954" max="9954" width="8.6640625" style="86"/>
    <col min="9955" max="9955" width="18" style="86" bestFit="1" customWidth="1"/>
    <col min="9956" max="9957" width="8.6640625" style="86"/>
    <col min="9958" max="9958" width="21.6640625" style="86" customWidth="1"/>
    <col min="9959" max="9959" width="9.44140625" style="86" bestFit="1" customWidth="1"/>
    <col min="9960" max="10202" width="8.6640625" style="86"/>
    <col min="10203" max="10203" width="12.6640625" style="86" customWidth="1"/>
    <col min="10204" max="10204" width="60.33203125" style="86" customWidth="1"/>
    <col min="10205" max="10206" width="12.6640625" style="86" customWidth="1"/>
    <col min="10207" max="10207" width="12.33203125" style="86" bestFit="1" customWidth="1"/>
    <col min="10208" max="10208" width="15.6640625" style="86" customWidth="1"/>
    <col min="10209" max="10209" width="17.6640625" style="86" bestFit="1" customWidth="1"/>
    <col min="10210" max="10210" width="8.6640625" style="86"/>
    <col min="10211" max="10211" width="18" style="86" bestFit="1" customWidth="1"/>
    <col min="10212" max="10213" width="8.6640625" style="86"/>
    <col min="10214" max="10214" width="21.6640625" style="86" customWidth="1"/>
    <col min="10215" max="10215" width="9.44140625" style="86" bestFit="1" customWidth="1"/>
    <col min="10216" max="10458" width="8.6640625" style="86"/>
    <col min="10459" max="10459" width="12.6640625" style="86" customWidth="1"/>
    <col min="10460" max="10460" width="60.33203125" style="86" customWidth="1"/>
    <col min="10461" max="10462" width="12.6640625" style="86" customWidth="1"/>
    <col min="10463" max="10463" width="12.33203125" style="86" bestFit="1" customWidth="1"/>
    <col min="10464" max="10464" width="15.6640625" style="86" customWidth="1"/>
    <col min="10465" max="10465" width="17.6640625" style="86" bestFit="1" customWidth="1"/>
    <col min="10466" max="10466" width="8.6640625" style="86"/>
    <col min="10467" max="10467" width="18" style="86" bestFit="1" customWidth="1"/>
    <col min="10468" max="10469" width="8.6640625" style="86"/>
    <col min="10470" max="10470" width="21.6640625" style="86" customWidth="1"/>
    <col min="10471" max="10471" width="9.44140625" style="86" bestFit="1" customWidth="1"/>
    <col min="10472" max="10714" width="8.6640625" style="86"/>
    <col min="10715" max="10715" width="12.6640625" style="86" customWidth="1"/>
    <col min="10716" max="10716" width="60.33203125" style="86" customWidth="1"/>
    <col min="10717" max="10718" width="12.6640625" style="86" customWidth="1"/>
    <col min="10719" max="10719" width="12.33203125" style="86" bestFit="1" customWidth="1"/>
    <col min="10720" max="10720" width="15.6640625" style="86" customWidth="1"/>
    <col min="10721" max="10721" width="17.6640625" style="86" bestFit="1" customWidth="1"/>
    <col min="10722" max="10722" width="8.6640625" style="86"/>
    <col min="10723" max="10723" width="18" style="86" bestFit="1" customWidth="1"/>
    <col min="10724" max="10725" width="8.6640625" style="86"/>
    <col min="10726" max="10726" width="21.6640625" style="86" customWidth="1"/>
    <col min="10727" max="10727" width="9.44140625" style="86" bestFit="1" customWidth="1"/>
    <col min="10728" max="10970" width="8.6640625" style="86"/>
    <col min="10971" max="10971" width="12.6640625" style="86" customWidth="1"/>
    <col min="10972" max="10972" width="60.33203125" style="86" customWidth="1"/>
    <col min="10973" max="10974" width="12.6640625" style="86" customWidth="1"/>
    <col min="10975" max="10975" width="12.33203125" style="86" bestFit="1" customWidth="1"/>
    <col min="10976" max="10976" width="15.6640625" style="86" customWidth="1"/>
    <col min="10977" max="10977" width="17.6640625" style="86" bestFit="1" customWidth="1"/>
    <col min="10978" max="10978" width="8.6640625" style="86"/>
    <col min="10979" max="10979" width="18" style="86" bestFit="1" customWidth="1"/>
    <col min="10980" max="10981" width="8.6640625" style="86"/>
    <col min="10982" max="10982" width="21.6640625" style="86" customWidth="1"/>
    <col min="10983" max="10983" width="9.44140625" style="86" bestFit="1" customWidth="1"/>
    <col min="10984" max="11226" width="8.6640625" style="86"/>
    <col min="11227" max="11227" width="12.6640625" style="86" customWidth="1"/>
    <col min="11228" max="11228" width="60.33203125" style="86" customWidth="1"/>
    <col min="11229" max="11230" width="12.6640625" style="86" customWidth="1"/>
    <col min="11231" max="11231" width="12.33203125" style="86" bestFit="1" customWidth="1"/>
    <col min="11232" max="11232" width="15.6640625" style="86" customWidth="1"/>
    <col min="11233" max="11233" width="17.6640625" style="86" bestFit="1" customWidth="1"/>
    <col min="11234" max="11234" width="8.6640625" style="86"/>
    <col min="11235" max="11235" width="18" style="86" bestFit="1" customWidth="1"/>
    <col min="11236" max="11237" width="8.6640625" style="86"/>
    <col min="11238" max="11238" width="21.6640625" style="86" customWidth="1"/>
    <col min="11239" max="11239" width="9.44140625" style="86" bestFit="1" customWidth="1"/>
    <col min="11240" max="11482" width="8.6640625" style="86"/>
    <col min="11483" max="11483" width="12.6640625" style="86" customWidth="1"/>
    <col min="11484" max="11484" width="60.33203125" style="86" customWidth="1"/>
    <col min="11485" max="11486" width="12.6640625" style="86" customWidth="1"/>
    <col min="11487" max="11487" width="12.33203125" style="86" bestFit="1" customWidth="1"/>
    <col min="11488" max="11488" width="15.6640625" style="86" customWidth="1"/>
    <col min="11489" max="11489" width="17.6640625" style="86" bestFit="1" customWidth="1"/>
    <col min="11490" max="11490" width="8.6640625" style="86"/>
    <col min="11491" max="11491" width="18" style="86" bestFit="1" customWidth="1"/>
    <col min="11492" max="11493" width="8.6640625" style="86"/>
    <col min="11494" max="11494" width="21.6640625" style="86" customWidth="1"/>
    <col min="11495" max="11495" width="9.44140625" style="86" bestFit="1" customWidth="1"/>
    <col min="11496" max="11738" width="8.6640625" style="86"/>
    <col min="11739" max="11739" width="12.6640625" style="86" customWidth="1"/>
    <col min="11740" max="11740" width="60.33203125" style="86" customWidth="1"/>
    <col min="11741" max="11742" width="12.6640625" style="86" customWidth="1"/>
    <col min="11743" max="11743" width="12.33203125" style="86" bestFit="1" customWidth="1"/>
    <col min="11744" max="11744" width="15.6640625" style="86" customWidth="1"/>
    <col min="11745" max="11745" width="17.6640625" style="86" bestFit="1" customWidth="1"/>
    <col min="11746" max="11746" width="8.6640625" style="86"/>
    <col min="11747" max="11747" width="18" style="86" bestFit="1" customWidth="1"/>
    <col min="11748" max="11749" width="8.6640625" style="86"/>
    <col min="11750" max="11750" width="21.6640625" style="86" customWidth="1"/>
    <col min="11751" max="11751" width="9.44140625" style="86" bestFit="1" customWidth="1"/>
    <col min="11752" max="11994" width="8.6640625" style="86"/>
    <col min="11995" max="11995" width="12.6640625" style="86" customWidth="1"/>
    <col min="11996" max="11996" width="60.33203125" style="86" customWidth="1"/>
    <col min="11997" max="11998" width="12.6640625" style="86" customWidth="1"/>
    <col min="11999" max="11999" width="12.33203125" style="86" bestFit="1" customWidth="1"/>
    <col min="12000" max="12000" width="15.6640625" style="86" customWidth="1"/>
    <col min="12001" max="12001" width="17.6640625" style="86" bestFit="1" customWidth="1"/>
    <col min="12002" max="12002" width="8.6640625" style="86"/>
    <col min="12003" max="12003" width="18" style="86" bestFit="1" customWidth="1"/>
    <col min="12004" max="12005" width="8.6640625" style="86"/>
    <col min="12006" max="12006" width="21.6640625" style="86" customWidth="1"/>
    <col min="12007" max="12007" width="9.44140625" style="86" bestFit="1" customWidth="1"/>
    <col min="12008" max="12250" width="8.6640625" style="86"/>
    <col min="12251" max="12251" width="12.6640625" style="86" customWidth="1"/>
    <col min="12252" max="12252" width="60.33203125" style="86" customWidth="1"/>
    <col min="12253" max="12254" width="12.6640625" style="86" customWidth="1"/>
    <col min="12255" max="12255" width="12.33203125" style="86" bestFit="1" customWidth="1"/>
    <col min="12256" max="12256" width="15.6640625" style="86" customWidth="1"/>
    <col min="12257" max="12257" width="17.6640625" style="86" bestFit="1" customWidth="1"/>
    <col min="12258" max="12258" width="8.6640625" style="86"/>
    <col min="12259" max="12259" width="18" style="86" bestFit="1" customWidth="1"/>
    <col min="12260" max="12261" width="8.6640625" style="86"/>
    <col min="12262" max="12262" width="21.6640625" style="86" customWidth="1"/>
    <col min="12263" max="12263" width="9.44140625" style="86" bestFit="1" customWidth="1"/>
    <col min="12264" max="12506" width="8.6640625" style="86"/>
    <col min="12507" max="12507" width="12.6640625" style="86" customWidth="1"/>
    <col min="12508" max="12508" width="60.33203125" style="86" customWidth="1"/>
    <col min="12509" max="12510" width="12.6640625" style="86" customWidth="1"/>
    <col min="12511" max="12511" width="12.33203125" style="86" bestFit="1" customWidth="1"/>
    <col min="12512" max="12512" width="15.6640625" style="86" customWidth="1"/>
    <col min="12513" max="12513" width="17.6640625" style="86" bestFit="1" customWidth="1"/>
    <col min="12514" max="12514" width="8.6640625" style="86"/>
    <col min="12515" max="12515" width="18" style="86" bestFit="1" customWidth="1"/>
    <col min="12516" max="12517" width="8.6640625" style="86"/>
    <col min="12518" max="12518" width="21.6640625" style="86" customWidth="1"/>
    <col min="12519" max="12519" width="9.44140625" style="86" bestFit="1" customWidth="1"/>
    <col min="12520" max="12762" width="8.6640625" style="86"/>
    <col min="12763" max="12763" width="12.6640625" style="86" customWidth="1"/>
    <col min="12764" max="12764" width="60.33203125" style="86" customWidth="1"/>
    <col min="12765" max="12766" width="12.6640625" style="86" customWidth="1"/>
    <col min="12767" max="12767" width="12.33203125" style="86" bestFit="1" customWidth="1"/>
    <col min="12768" max="12768" width="15.6640625" style="86" customWidth="1"/>
    <col min="12769" max="12769" width="17.6640625" style="86" bestFit="1" customWidth="1"/>
    <col min="12770" max="12770" width="8.6640625" style="86"/>
    <col min="12771" max="12771" width="18" style="86" bestFit="1" customWidth="1"/>
    <col min="12772" max="12773" width="8.6640625" style="86"/>
    <col min="12774" max="12774" width="21.6640625" style="86" customWidth="1"/>
    <col min="12775" max="12775" width="9.44140625" style="86" bestFit="1" customWidth="1"/>
    <col min="12776" max="13018" width="8.6640625" style="86"/>
    <col min="13019" max="13019" width="12.6640625" style="86" customWidth="1"/>
    <col min="13020" max="13020" width="60.33203125" style="86" customWidth="1"/>
    <col min="13021" max="13022" width="12.6640625" style="86" customWidth="1"/>
    <col min="13023" max="13023" width="12.33203125" style="86" bestFit="1" customWidth="1"/>
    <col min="13024" max="13024" width="15.6640625" style="86" customWidth="1"/>
    <col min="13025" max="13025" width="17.6640625" style="86" bestFit="1" customWidth="1"/>
    <col min="13026" max="13026" width="8.6640625" style="86"/>
    <col min="13027" max="13027" width="18" style="86" bestFit="1" customWidth="1"/>
    <col min="13028" max="13029" width="8.6640625" style="86"/>
    <col min="13030" max="13030" width="21.6640625" style="86" customWidth="1"/>
    <col min="13031" max="13031" width="9.44140625" style="86" bestFit="1" customWidth="1"/>
    <col min="13032" max="13274" width="8.6640625" style="86"/>
    <col min="13275" max="13275" width="12.6640625" style="86" customWidth="1"/>
    <col min="13276" max="13276" width="60.33203125" style="86" customWidth="1"/>
    <col min="13277" max="13278" width="12.6640625" style="86" customWidth="1"/>
    <col min="13279" max="13279" width="12.33203125" style="86" bestFit="1" customWidth="1"/>
    <col min="13280" max="13280" width="15.6640625" style="86" customWidth="1"/>
    <col min="13281" max="13281" width="17.6640625" style="86" bestFit="1" customWidth="1"/>
    <col min="13282" max="13282" width="8.6640625" style="86"/>
    <col min="13283" max="13283" width="18" style="86" bestFit="1" customWidth="1"/>
    <col min="13284" max="13285" width="8.6640625" style="86"/>
    <col min="13286" max="13286" width="21.6640625" style="86" customWidth="1"/>
    <col min="13287" max="13287" width="9.44140625" style="86" bestFit="1" customWidth="1"/>
    <col min="13288" max="13530" width="8.6640625" style="86"/>
    <col min="13531" max="13531" width="12.6640625" style="86" customWidth="1"/>
    <col min="13532" max="13532" width="60.33203125" style="86" customWidth="1"/>
    <col min="13533" max="13534" width="12.6640625" style="86" customWidth="1"/>
    <col min="13535" max="13535" width="12.33203125" style="86" bestFit="1" customWidth="1"/>
    <col min="13536" max="13536" width="15.6640625" style="86" customWidth="1"/>
    <col min="13537" max="13537" width="17.6640625" style="86" bestFit="1" customWidth="1"/>
    <col min="13538" max="13538" width="8.6640625" style="86"/>
    <col min="13539" max="13539" width="18" style="86" bestFit="1" customWidth="1"/>
    <col min="13540" max="13541" width="8.6640625" style="86"/>
    <col min="13542" max="13542" width="21.6640625" style="86" customWidth="1"/>
    <col min="13543" max="13543" width="9.44140625" style="86" bestFit="1" customWidth="1"/>
    <col min="13544" max="13786" width="8.6640625" style="86"/>
    <col min="13787" max="13787" width="12.6640625" style="86" customWidth="1"/>
    <col min="13788" max="13788" width="60.33203125" style="86" customWidth="1"/>
    <col min="13789" max="13790" width="12.6640625" style="86" customWidth="1"/>
    <col min="13791" max="13791" width="12.33203125" style="86" bestFit="1" customWidth="1"/>
    <col min="13792" max="13792" width="15.6640625" style="86" customWidth="1"/>
    <col min="13793" max="13793" width="17.6640625" style="86" bestFit="1" customWidth="1"/>
    <col min="13794" max="13794" width="8.6640625" style="86"/>
    <col min="13795" max="13795" width="18" style="86" bestFit="1" customWidth="1"/>
    <col min="13796" max="13797" width="8.6640625" style="86"/>
    <col min="13798" max="13798" width="21.6640625" style="86" customWidth="1"/>
    <col min="13799" max="13799" width="9.44140625" style="86" bestFit="1" customWidth="1"/>
    <col min="13800" max="14042" width="8.6640625" style="86"/>
    <col min="14043" max="14043" width="12.6640625" style="86" customWidth="1"/>
    <col min="14044" max="14044" width="60.33203125" style="86" customWidth="1"/>
    <col min="14045" max="14046" width="12.6640625" style="86" customWidth="1"/>
    <col min="14047" max="14047" width="12.33203125" style="86" bestFit="1" customWidth="1"/>
    <col min="14048" max="14048" width="15.6640625" style="86" customWidth="1"/>
    <col min="14049" max="14049" width="17.6640625" style="86" bestFit="1" customWidth="1"/>
    <col min="14050" max="14050" width="8.6640625" style="86"/>
    <col min="14051" max="14051" width="18" style="86" bestFit="1" customWidth="1"/>
    <col min="14052" max="14053" width="8.6640625" style="86"/>
    <col min="14054" max="14054" width="21.6640625" style="86" customWidth="1"/>
    <col min="14055" max="14055" width="9.44140625" style="86" bestFit="1" customWidth="1"/>
    <col min="14056" max="14298" width="8.6640625" style="86"/>
    <col min="14299" max="14299" width="12.6640625" style="86" customWidth="1"/>
    <col min="14300" max="14300" width="60.33203125" style="86" customWidth="1"/>
    <col min="14301" max="14302" width="12.6640625" style="86" customWidth="1"/>
    <col min="14303" max="14303" width="12.33203125" style="86" bestFit="1" customWidth="1"/>
    <col min="14304" max="14304" width="15.6640625" style="86" customWidth="1"/>
    <col min="14305" max="14305" width="17.6640625" style="86" bestFit="1" customWidth="1"/>
    <col min="14306" max="14306" width="8.6640625" style="86"/>
    <col min="14307" max="14307" width="18" style="86" bestFit="1" customWidth="1"/>
    <col min="14308" max="14309" width="8.6640625" style="86"/>
    <col min="14310" max="14310" width="21.6640625" style="86" customWidth="1"/>
    <col min="14311" max="14311" width="9.44140625" style="86" bestFit="1" customWidth="1"/>
    <col min="14312" max="14554" width="8.6640625" style="86"/>
    <col min="14555" max="14555" width="12.6640625" style="86" customWidth="1"/>
    <col min="14556" max="14556" width="60.33203125" style="86" customWidth="1"/>
    <col min="14557" max="14558" width="12.6640625" style="86" customWidth="1"/>
    <col min="14559" max="14559" width="12.33203125" style="86" bestFit="1" customWidth="1"/>
    <col min="14560" max="14560" width="15.6640625" style="86" customWidth="1"/>
    <col min="14561" max="14561" width="17.6640625" style="86" bestFit="1" customWidth="1"/>
    <col min="14562" max="14562" width="8.6640625" style="86"/>
    <col min="14563" max="14563" width="18" style="86" bestFit="1" customWidth="1"/>
    <col min="14564" max="14565" width="8.6640625" style="86"/>
    <col min="14566" max="14566" width="21.6640625" style="86" customWidth="1"/>
    <col min="14567" max="14567" width="9.44140625" style="86" bestFit="1" customWidth="1"/>
    <col min="14568" max="14810" width="8.6640625" style="86"/>
    <col min="14811" max="14811" width="12.6640625" style="86" customWidth="1"/>
    <col min="14812" max="14812" width="60.33203125" style="86" customWidth="1"/>
    <col min="14813" max="14814" width="12.6640625" style="86" customWidth="1"/>
    <col min="14815" max="14815" width="12.33203125" style="86" bestFit="1" customWidth="1"/>
    <col min="14816" max="14816" width="15.6640625" style="86" customWidth="1"/>
    <col min="14817" max="14817" width="17.6640625" style="86" bestFit="1" customWidth="1"/>
    <col min="14818" max="14818" width="8.6640625" style="86"/>
    <col min="14819" max="14819" width="18" style="86" bestFit="1" customWidth="1"/>
    <col min="14820" max="14821" width="8.6640625" style="86"/>
    <col min="14822" max="14822" width="21.6640625" style="86" customWidth="1"/>
    <col min="14823" max="14823" width="9.44140625" style="86" bestFit="1" customWidth="1"/>
    <col min="14824" max="15066" width="8.6640625" style="86"/>
    <col min="15067" max="15067" width="12.6640625" style="86" customWidth="1"/>
    <col min="15068" max="15068" width="60.33203125" style="86" customWidth="1"/>
    <col min="15069" max="15070" width="12.6640625" style="86" customWidth="1"/>
    <col min="15071" max="15071" width="12.33203125" style="86" bestFit="1" customWidth="1"/>
    <col min="15072" max="15072" width="15.6640625" style="86" customWidth="1"/>
    <col min="15073" max="15073" width="17.6640625" style="86" bestFit="1" customWidth="1"/>
    <col min="15074" max="15074" width="8.6640625" style="86"/>
    <col min="15075" max="15075" width="18" style="86" bestFit="1" customWidth="1"/>
    <col min="15076" max="15077" width="8.6640625" style="86"/>
    <col min="15078" max="15078" width="21.6640625" style="86" customWidth="1"/>
    <col min="15079" max="15079" width="9.44140625" style="86" bestFit="1" customWidth="1"/>
    <col min="15080" max="15322" width="8.6640625" style="86"/>
    <col min="15323" max="15323" width="12.6640625" style="86" customWidth="1"/>
    <col min="15324" max="15324" width="60.33203125" style="86" customWidth="1"/>
    <col min="15325" max="15326" width="12.6640625" style="86" customWidth="1"/>
    <col min="15327" max="15327" width="12.33203125" style="86" bestFit="1" customWidth="1"/>
    <col min="15328" max="15328" width="15.6640625" style="86" customWidth="1"/>
    <col min="15329" max="15329" width="17.6640625" style="86" bestFit="1" customWidth="1"/>
    <col min="15330" max="15330" width="8.6640625" style="86"/>
    <col min="15331" max="15331" width="18" style="86" bestFit="1" customWidth="1"/>
    <col min="15332" max="15333" width="8.6640625" style="86"/>
    <col min="15334" max="15334" width="21.6640625" style="86" customWidth="1"/>
    <col min="15335" max="15335" width="9.44140625" style="86" bestFit="1" customWidth="1"/>
    <col min="15336" max="15578" width="8.6640625" style="86"/>
    <col min="15579" max="15579" width="12.6640625" style="86" customWidth="1"/>
    <col min="15580" max="15580" width="60.33203125" style="86" customWidth="1"/>
    <col min="15581" max="15582" width="12.6640625" style="86" customWidth="1"/>
    <col min="15583" max="15583" width="12.33203125" style="86" bestFit="1" customWidth="1"/>
    <col min="15584" max="15584" width="15.6640625" style="86" customWidth="1"/>
    <col min="15585" max="15585" width="17.6640625" style="86" bestFit="1" customWidth="1"/>
    <col min="15586" max="15586" width="8.6640625" style="86"/>
    <col min="15587" max="15587" width="18" style="86" bestFit="1" customWidth="1"/>
    <col min="15588" max="15589" width="8.6640625" style="86"/>
    <col min="15590" max="15590" width="21.6640625" style="86" customWidth="1"/>
    <col min="15591" max="15591" width="9.44140625" style="86" bestFit="1" customWidth="1"/>
    <col min="15592" max="15834" width="8.6640625" style="86"/>
    <col min="15835" max="15835" width="12.6640625" style="86" customWidth="1"/>
    <col min="15836" max="15836" width="60.33203125" style="86" customWidth="1"/>
    <col min="15837" max="15838" width="12.6640625" style="86" customWidth="1"/>
    <col min="15839" max="15839" width="12.33203125" style="86" bestFit="1" customWidth="1"/>
    <col min="15840" max="15840" width="15.6640625" style="86" customWidth="1"/>
    <col min="15841" max="15841" width="17.6640625" style="86" bestFit="1" customWidth="1"/>
    <col min="15842" max="15842" width="8.6640625" style="86"/>
    <col min="15843" max="15843" width="18" style="86" bestFit="1" customWidth="1"/>
    <col min="15844" max="15845" width="8.6640625" style="86"/>
    <col min="15846" max="15846" width="21.6640625" style="86" customWidth="1"/>
    <col min="15847" max="15847" width="9.44140625" style="86" bestFit="1" customWidth="1"/>
    <col min="15848" max="16090" width="8.6640625" style="86"/>
    <col min="16091" max="16091" width="12.6640625" style="86" customWidth="1"/>
    <col min="16092" max="16092" width="60.33203125" style="86" customWidth="1"/>
    <col min="16093" max="16094" width="12.6640625" style="86" customWidth="1"/>
    <col min="16095" max="16095" width="12.33203125" style="86" bestFit="1" customWidth="1"/>
    <col min="16096" max="16096" width="15.6640625" style="86" customWidth="1"/>
    <col min="16097" max="16097" width="17.6640625" style="86" bestFit="1" customWidth="1"/>
    <col min="16098" max="16098" width="8.6640625" style="86"/>
    <col min="16099" max="16099" width="18" style="86" bestFit="1" customWidth="1"/>
    <col min="16100" max="16101" width="8.6640625" style="86"/>
    <col min="16102" max="16102" width="21.6640625" style="86" customWidth="1"/>
    <col min="16103" max="16103" width="9.44140625" style="86" bestFit="1" customWidth="1"/>
    <col min="16104" max="16384" width="8.6640625" style="86"/>
  </cols>
  <sheetData>
    <row r="1" spans="1:13" ht="14.4" thickBot="1">
      <c r="A1" s="337" t="s">
        <v>39</v>
      </c>
      <c r="B1" s="338"/>
      <c r="C1" s="339"/>
      <c r="D1" s="339"/>
      <c r="E1" s="339"/>
      <c r="F1" s="85"/>
    </row>
    <row r="2" spans="1:13" ht="19.95" customHeight="1">
      <c r="A2" s="87"/>
      <c r="B2" s="88"/>
      <c r="C2" s="88"/>
      <c r="D2" s="88"/>
      <c r="E2" s="89"/>
    </row>
    <row r="3" spans="1:13" ht="19.95" customHeight="1">
      <c r="A3" s="87" t="s">
        <v>311</v>
      </c>
      <c r="B3" s="88"/>
      <c r="C3" s="88"/>
      <c r="D3" s="88"/>
      <c r="E3" s="89"/>
    </row>
    <row r="4" spans="1:13" ht="19.95" customHeight="1" thickBot="1">
      <c r="A4" s="224"/>
      <c r="B4" s="224"/>
      <c r="C4" s="224"/>
      <c r="D4" s="224"/>
      <c r="E4" s="224"/>
      <c r="F4" s="224"/>
      <c r="L4" s="86" t="s">
        <v>76</v>
      </c>
      <c r="M4" s="86" t="s">
        <v>279</v>
      </c>
    </row>
    <row r="5" spans="1:13" ht="28.5" customHeight="1">
      <c r="A5" s="292" t="str">
        <f>"Produto "&amp;L5</f>
        <v>Produto 20</v>
      </c>
      <c r="B5" s="333" t="str">
        <f>VLOOKUP(A5,K:M,3,0)</f>
        <v>Acompanhar e atualizar metas do Plano de Gestão Anual e Plano Estratégico</v>
      </c>
      <c r="C5" s="333"/>
      <c r="D5" s="333"/>
      <c r="E5" s="333"/>
      <c r="F5" s="334"/>
      <c r="K5" s="86" t="str">
        <f>"Produto "&amp;L5</f>
        <v>Produto 20</v>
      </c>
      <c r="L5" s="86">
        <v>20</v>
      </c>
      <c r="M5" s="86" t="s">
        <v>293</v>
      </c>
    </row>
    <row r="6" spans="1:13" ht="19.95" customHeight="1">
      <c r="A6" s="91" t="s">
        <v>3</v>
      </c>
      <c r="B6" s="92" t="s">
        <v>5</v>
      </c>
      <c r="C6" s="92" t="s">
        <v>6</v>
      </c>
      <c r="D6" s="92" t="s">
        <v>7</v>
      </c>
      <c r="E6" s="92" t="s">
        <v>40</v>
      </c>
      <c r="F6" s="93" t="s">
        <v>41</v>
      </c>
      <c r="K6" s="86" t="str">
        <f t="shared" ref="K6:K19" si="0">"Produto "&amp;L6</f>
        <v>Produto 21</v>
      </c>
      <c r="L6" s="86">
        <v>21</v>
      </c>
      <c r="M6" s="86" t="s">
        <v>294</v>
      </c>
    </row>
    <row r="7" spans="1:13">
      <c r="A7" s="297" t="str">
        <f>"valor mês "&amp;A5</f>
        <v>valor mês Produto 20</v>
      </c>
      <c r="B7" s="237" t="str">
        <f>B5</f>
        <v>Acompanhar e atualizar metas do Plano de Gestão Anual e Plano Estratégico</v>
      </c>
      <c r="C7" s="38"/>
      <c r="D7" s="243"/>
      <c r="E7" s="42"/>
      <c r="F7" s="29">
        <f>F8+F12+F17</f>
        <v>577.99843809383651</v>
      </c>
      <c r="K7" s="86" t="str">
        <f t="shared" si="0"/>
        <v>Produto 22</v>
      </c>
      <c r="L7" s="86">
        <v>22</v>
      </c>
      <c r="M7" s="86" t="s">
        <v>295</v>
      </c>
    </row>
    <row r="8" spans="1:13">
      <c r="A8" s="242">
        <v>1</v>
      </c>
      <c r="B8" s="237" t="s">
        <v>45</v>
      </c>
      <c r="C8" s="38"/>
      <c r="D8" s="243"/>
      <c r="E8" s="42"/>
      <c r="F8" s="238">
        <f>SUM(F9:F9)</f>
        <v>295.66575676166707</v>
      </c>
      <c r="K8" s="86" t="str">
        <f t="shared" si="0"/>
        <v>Produto 23</v>
      </c>
      <c r="L8" s="86">
        <v>23</v>
      </c>
      <c r="M8" s="86" t="s">
        <v>307</v>
      </c>
    </row>
    <row r="9" spans="1:13">
      <c r="A9" s="96"/>
      <c r="B9" s="239" t="s">
        <v>57</v>
      </c>
      <c r="C9" s="38" t="s">
        <v>46</v>
      </c>
      <c r="D9" s="251">
        <f>HLOOKUP(B9,'Estimativa de horas por produto'!$F$33:$P$85,39,0)</f>
        <v>3.911111111111111</v>
      </c>
      <c r="E9" s="148">
        <f>VLOOKUP(B9,'Custo mao de obra Dnit'!A:AB,28,0)</f>
        <v>75.596358262926245</v>
      </c>
      <c r="F9" s="236">
        <f>D9*E9</f>
        <v>295.66575676166707</v>
      </c>
      <c r="G9" s="281"/>
      <c r="H9" s="281"/>
      <c r="K9" s="86" t="str">
        <f t="shared" si="0"/>
        <v>Produto 24</v>
      </c>
      <c r="L9" s="86">
        <v>24</v>
      </c>
      <c r="M9" s="86" t="s">
        <v>296</v>
      </c>
    </row>
    <row r="10" spans="1:13">
      <c r="A10" s="96"/>
      <c r="B10" s="239"/>
      <c r="C10" s="38"/>
      <c r="D10" s="244"/>
      <c r="E10" s="49"/>
      <c r="F10" s="236"/>
      <c r="K10" s="86" t="str">
        <f t="shared" si="0"/>
        <v>Produto 25</v>
      </c>
      <c r="L10" s="86">
        <v>25</v>
      </c>
      <c r="M10" s="86" t="s">
        <v>297</v>
      </c>
    </row>
    <row r="11" spans="1:13" s="101" customFormat="1" ht="13.8">
      <c r="A11" s="234"/>
      <c r="B11" s="239"/>
      <c r="C11" s="49"/>
      <c r="D11" s="244"/>
      <c r="E11" s="252"/>
      <c r="F11" s="236"/>
      <c r="K11" s="86" t="str">
        <f t="shared" si="0"/>
        <v>Produto 26</v>
      </c>
      <c r="L11" s="101">
        <v>26</v>
      </c>
      <c r="M11" s="101" t="s">
        <v>298</v>
      </c>
    </row>
    <row r="12" spans="1:13">
      <c r="A12" s="242">
        <v>2</v>
      </c>
      <c r="B12" s="237" t="s">
        <v>201</v>
      </c>
      <c r="C12" s="245"/>
      <c r="D12" s="243"/>
      <c r="E12" s="45"/>
      <c r="F12" s="238">
        <f>SUM(F13:F15)</f>
        <v>128.82157022105832</v>
      </c>
      <c r="K12" s="86" t="str">
        <f t="shared" si="0"/>
        <v>Produto 27</v>
      </c>
      <c r="L12" s="86">
        <v>27</v>
      </c>
      <c r="M12" s="86" t="s">
        <v>299</v>
      </c>
    </row>
    <row r="13" spans="1:13" s="101" customFormat="1" ht="13.8">
      <c r="A13" s="234"/>
      <c r="B13" s="239" t="s">
        <v>223</v>
      </c>
      <c r="C13" s="240" t="s">
        <v>19</v>
      </c>
      <c r="D13" s="244">
        <f>$F$8</f>
        <v>295.66575676166707</v>
      </c>
      <c r="E13" s="252">
        <f>'Custos diversos e BDI - DNIT'!$D$30/100</f>
        <v>0.11110000000000002</v>
      </c>
      <c r="F13" s="236">
        <f>D13*E13</f>
        <v>32.848465576221216</v>
      </c>
      <c r="K13" s="86" t="str">
        <f t="shared" si="0"/>
        <v>Produto 28</v>
      </c>
      <c r="L13" s="101">
        <v>28</v>
      </c>
      <c r="M13" s="101" t="s">
        <v>300</v>
      </c>
    </row>
    <row r="14" spans="1:13" s="101" customFormat="1" ht="13.8">
      <c r="A14" s="234"/>
      <c r="B14" s="239" t="s">
        <v>224</v>
      </c>
      <c r="C14" s="240" t="s">
        <v>19</v>
      </c>
      <c r="D14" s="244">
        <f t="shared" ref="D14:D15" si="1">$F$8</f>
        <v>295.66575676166707</v>
      </c>
      <c r="E14" s="252">
        <f>'Custos diversos e BDI - DNIT'!$D$33/100</f>
        <v>0.12</v>
      </c>
      <c r="F14" s="236">
        <f t="shared" ref="F14:F15" si="2">D14*E14</f>
        <v>35.479890811400047</v>
      </c>
      <c r="K14" s="86" t="str">
        <f t="shared" si="0"/>
        <v>Produto 29</v>
      </c>
      <c r="L14" s="101">
        <v>29</v>
      </c>
      <c r="M14" s="101" t="s">
        <v>301</v>
      </c>
    </row>
    <row r="15" spans="1:13" s="101" customFormat="1" ht="13.8">
      <c r="A15" s="234"/>
      <c r="B15" s="239" t="s">
        <v>225</v>
      </c>
      <c r="C15" s="240" t="s">
        <v>19</v>
      </c>
      <c r="D15" s="244">
        <f t="shared" si="1"/>
        <v>295.66575676166707</v>
      </c>
      <c r="E15" s="252">
        <f>'Custos diversos e BDI - DNIT'!$D$38/100</f>
        <v>0.2046</v>
      </c>
      <c r="F15" s="236">
        <f t="shared" si="2"/>
        <v>60.493213833437082</v>
      </c>
      <c r="K15" s="86" t="str">
        <f t="shared" si="0"/>
        <v>Produto 30</v>
      </c>
      <c r="L15" s="101">
        <v>30</v>
      </c>
      <c r="M15" s="101" t="s">
        <v>302</v>
      </c>
    </row>
    <row r="16" spans="1:13" s="101" customFormat="1" ht="13.8">
      <c r="A16" s="234"/>
      <c r="B16" s="239"/>
      <c r="C16" s="49"/>
      <c r="D16" s="244"/>
      <c r="E16" s="246"/>
      <c r="F16" s="236"/>
      <c r="K16" s="86" t="str">
        <f t="shared" si="0"/>
        <v>Produto 31</v>
      </c>
      <c r="L16" s="101">
        <v>31</v>
      </c>
      <c r="M16" s="101" t="s">
        <v>303</v>
      </c>
    </row>
    <row r="17" spans="1:13" s="101" customFormat="1" ht="13.8">
      <c r="A17" s="102" t="s">
        <v>47</v>
      </c>
      <c r="B17" s="103" t="s">
        <v>10</v>
      </c>
      <c r="C17" s="104" t="s">
        <v>46</v>
      </c>
      <c r="D17" s="105">
        <f>D9</f>
        <v>3.911111111111111</v>
      </c>
      <c r="E17" s="150">
        <f>'Custo Gerencial'!$G$48</f>
        <v>39.25</v>
      </c>
      <c r="F17" s="106">
        <f>D17*E17</f>
        <v>153.51111111111112</v>
      </c>
      <c r="K17" s="86" t="str">
        <f t="shared" si="0"/>
        <v>Produto 32</v>
      </c>
      <c r="L17" s="101">
        <v>32</v>
      </c>
      <c r="M17" s="101" t="s">
        <v>304</v>
      </c>
    </row>
    <row r="18" spans="1:13" s="101" customFormat="1" ht="13.8">
      <c r="A18" s="234"/>
      <c r="B18" s="239"/>
      <c r="C18" s="49"/>
      <c r="D18" s="244"/>
      <c r="E18" s="246"/>
      <c r="F18" s="236"/>
      <c r="K18" s="86" t="str">
        <f t="shared" si="0"/>
        <v>Produto 33</v>
      </c>
      <c r="L18" s="101">
        <v>33</v>
      </c>
      <c r="M18" s="101" t="s">
        <v>305</v>
      </c>
    </row>
    <row r="19" spans="1:13" s="101" customFormat="1" ht="14.4" thickBot="1">
      <c r="A19" s="107"/>
      <c r="B19" s="247" t="s">
        <v>73</v>
      </c>
      <c r="C19" s="109" t="s">
        <v>21</v>
      </c>
      <c r="D19" s="110">
        <v>1</v>
      </c>
      <c r="E19" s="223">
        <f>F7</f>
        <v>577.99843809383651</v>
      </c>
      <c r="F19" s="112">
        <f>E19*D19</f>
        <v>577.99843809383651</v>
      </c>
      <c r="K19" s="86" t="str">
        <f t="shared" si="0"/>
        <v>Produto 34</v>
      </c>
      <c r="L19" s="101">
        <v>34</v>
      </c>
      <c r="M19" s="101" t="s">
        <v>306</v>
      </c>
    </row>
    <row r="20" spans="1:13" s="101" customFormat="1" ht="13.8">
      <c r="A20" s="286"/>
      <c r="B20" s="287"/>
      <c r="C20" s="288"/>
      <c r="D20" s="289"/>
      <c r="E20" s="290"/>
      <c r="F20" s="291"/>
    </row>
    <row r="21" spans="1:13" ht="19.95" customHeight="1" thickBot="1">
      <c r="A21" s="224"/>
      <c r="B21" s="224"/>
      <c r="C21" s="224"/>
      <c r="D21" s="224"/>
      <c r="E21" s="224"/>
      <c r="F21" s="224"/>
    </row>
    <row r="22" spans="1:13" ht="29.25" customHeight="1">
      <c r="A22" s="292" t="str">
        <f>"Produto "&amp;L6</f>
        <v>Produto 21</v>
      </c>
      <c r="B22" s="333" t="str">
        <f>VLOOKUP(A22,K:M,3,0)</f>
        <v>Elaboração/atualização de cronograma do projeto da BR-381/262/MG/ES</v>
      </c>
      <c r="C22" s="333"/>
      <c r="D22" s="333"/>
      <c r="E22" s="333"/>
      <c r="F22" s="334"/>
    </row>
    <row r="23" spans="1:13">
      <c r="A23" s="91" t="s">
        <v>3</v>
      </c>
      <c r="B23" s="92" t="s">
        <v>5</v>
      </c>
      <c r="C23" s="92" t="s">
        <v>6</v>
      </c>
      <c r="D23" s="92" t="s">
        <v>7</v>
      </c>
      <c r="E23" s="92" t="s">
        <v>40</v>
      </c>
      <c r="F23" s="93" t="s">
        <v>41</v>
      </c>
    </row>
    <row r="24" spans="1:13">
      <c r="A24" s="297" t="str">
        <f>"valor mês "&amp;A22</f>
        <v>valor mês Produto 21</v>
      </c>
      <c r="B24" s="237" t="str">
        <f>B22</f>
        <v>Elaboração/atualização de cronograma do projeto da BR-381/262/MG/ES</v>
      </c>
      <c r="C24" s="38"/>
      <c r="D24" s="243"/>
      <c r="E24" s="42"/>
      <c r="F24" s="29">
        <f>F25+F29+F34</f>
        <v>577.99843809383651</v>
      </c>
    </row>
    <row r="25" spans="1:13">
      <c r="A25" s="242">
        <v>1</v>
      </c>
      <c r="B25" s="237" t="s">
        <v>45</v>
      </c>
      <c r="C25" s="38"/>
      <c r="D25" s="243"/>
      <c r="E25" s="42"/>
      <c r="F25" s="238">
        <f>SUM(F26:F26)</f>
        <v>295.66575676166707</v>
      </c>
    </row>
    <row r="26" spans="1:13">
      <c r="A26" s="96"/>
      <c r="B26" s="239" t="s">
        <v>57</v>
      </c>
      <c r="C26" s="38" t="s">
        <v>46</v>
      </c>
      <c r="D26" s="251">
        <f>HLOOKUP(B26,'Estimativa de horas por produto'!$F$33:$P$85,40,0)</f>
        <v>3.911111111111111</v>
      </c>
      <c r="E26" s="148">
        <f>VLOOKUP(B26,'Custo mao de obra Dnit'!A:AB,28,0)</f>
        <v>75.596358262926245</v>
      </c>
      <c r="F26" s="236">
        <f>D26*E26</f>
        <v>295.66575676166707</v>
      </c>
    </row>
    <row r="27" spans="1:13">
      <c r="A27" s="96"/>
      <c r="B27" s="239"/>
      <c r="C27" s="38"/>
      <c r="D27" s="244"/>
      <c r="E27" s="49"/>
      <c r="F27" s="236"/>
    </row>
    <row r="28" spans="1:13">
      <c r="A28" s="234"/>
      <c r="B28" s="239"/>
      <c r="C28" s="49"/>
      <c r="D28" s="244"/>
      <c r="E28" s="252"/>
      <c r="F28" s="236"/>
    </row>
    <row r="29" spans="1:13">
      <c r="A29" s="242">
        <v>2</v>
      </c>
      <c r="B29" s="237" t="s">
        <v>201</v>
      </c>
      <c r="C29" s="245"/>
      <c r="D29" s="243"/>
      <c r="E29" s="45"/>
      <c r="F29" s="238">
        <f>SUM(F30:F32)</f>
        <v>128.82157022105832</v>
      </c>
    </row>
    <row r="30" spans="1:13">
      <c r="A30" s="234"/>
      <c r="B30" s="239" t="s">
        <v>223</v>
      </c>
      <c r="C30" s="240" t="s">
        <v>19</v>
      </c>
      <c r="D30" s="244">
        <f>$F$25</f>
        <v>295.66575676166707</v>
      </c>
      <c r="E30" s="252">
        <f>'Custos diversos e BDI - DNIT'!$D$30/100</f>
        <v>0.11110000000000002</v>
      </c>
      <c r="F30" s="236">
        <f>D30*E30</f>
        <v>32.848465576221216</v>
      </c>
    </row>
    <row r="31" spans="1:13">
      <c r="A31" s="234"/>
      <c r="B31" s="239" t="s">
        <v>224</v>
      </c>
      <c r="C31" s="240" t="s">
        <v>19</v>
      </c>
      <c r="D31" s="244">
        <f t="shared" ref="D31:D32" si="3">$F$25</f>
        <v>295.66575676166707</v>
      </c>
      <c r="E31" s="252">
        <f>'Custos diversos e BDI - DNIT'!$D$33/100</f>
        <v>0.12</v>
      </c>
      <c r="F31" s="236">
        <f t="shared" ref="F31:F32" si="4">D31*E31</f>
        <v>35.479890811400047</v>
      </c>
    </row>
    <row r="32" spans="1:13">
      <c r="A32" s="234"/>
      <c r="B32" s="239" t="s">
        <v>225</v>
      </c>
      <c r="C32" s="240" t="s">
        <v>19</v>
      </c>
      <c r="D32" s="244">
        <f t="shared" si="3"/>
        <v>295.66575676166707</v>
      </c>
      <c r="E32" s="252">
        <f>'Custos diversos e BDI - DNIT'!$D$38/100</f>
        <v>0.2046</v>
      </c>
      <c r="F32" s="236">
        <f t="shared" si="4"/>
        <v>60.493213833437082</v>
      </c>
    </row>
    <row r="33" spans="1:6">
      <c r="A33" s="234"/>
      <c r="B33" s="239"/>
      <c r="C33" s="49"/>
      <c r="D33" s="244"/>
      <c r="E33" s="246"/>
      <c r="F33" s="236"/>
    </row>
    <row r="34" spans="1:6">
      <c r="A34" s="102" t="s">
        <v>47</v>
      </c>
      <c r="B34" s="103" t="s">
        <v>10</v>
      </c>
      <c r="C34" s="104" t="s">
        <v>46</v>
      </c>
      <c r="D34" s="105">
        <f>D26</f>
        <v>3.911111111111111</v>
      </c>
      <c r="E34" s="150">
        <f>'Custo Gerencial'!$G$48</f>
        <v>39.25</v>
      </c>
      <c r="F34" s="106">
        <f>D34*E34</f>
        <v>153.51111111111112</v>
      </c>
    </row>
    <row r="35" spans="1:6">
      <c r="A35" s="234"/>
      <c r="B35" s="239"/>
      <c r="C35" s="49"/>
      <c r="D35" s="244"/>
      <c r="E35" s="246"/>
      <c r="F35" s="236"/>
    </row>
    <row r="36" spans="1:6" ht="13.8" thickBot="1">
      <c r="A36" s="107"/>
      <c r="B36" s="247" t="s">
        <v>73</v>
      </c>
      <c r="C36" s="109" t="s">
        <v>21</v>
      </c>
      <c r="D36" s="110">
        <v>1</v>
      </c>
      <c r="E36" s="223">
        <f>F24</f>
        <v>577.99843809383651</v>
      </c>
      <c r="F36" s="112">
        <f>E36*D36</f>
        <v>577.99843809383651</v>
      </c>
    </row>
    <row r="38" spans="1:6" ht="13.8" thickBot="1"/>
    <row r="39" spans="1:6" ht="29.25" customHeight="1">
      <c r="A39" s="292" t="str">
        <f>"Produto "&amp;L7</f>
        <v>Produto 22</v>
      </c>
      <c r="B39" s="333" t="str">
        <f>VLOOKUP(A39,K:M,3,0)</f>
        <v>Elaboração/atualização de cronograma do projeto da BR-116/101/SP/RJ (Dutra)</v>
      </c>
      <c r="C39" s="333"/>
      <c r="D39" s="333"/>
      <c r="E39" s="333"/>
      <c r="F39" s="334"/>
    </row>
    <row r="40" spans="1:6">
      <c r="A40" s="91" t="s">
        <v>3</v>
      </c>
      <c r="B40" s="92" t="s">
        <v>5</v>
      </c>
      <c r="C40" s="92" t="s">
        <v>6</v>
      </c>
      <c r="D40" s="92" t="s">
        <v>7</v>
      </c>
      <c r="E40" s="92" t="s">
        <v>40</v>
      </c>
      <c r="F40" s="93" t="s">
        <v>41</v>
      </c>
    </row>
    <row r="41" spans="1:6">
      <c r="A41" s="297" t="str">
        <f>"valor mês "&amp;A39</f>
        <v>valor mês Produto 22</v>
      </c>
      <c r="B41" s="237" t="str">
        <f>B39</f>
        <v>Elaboração/atualização de cronograma do projeto da BR-116/101/SP/RJ (Dutra)</v>
      </c>
      <c r="C41" s="38"/>
      <c r="D41" s="243"/>
      <c r="E41" s="42"/>
      <c r="F41" s="29">
        <f>F42+F46+F51</f>
        <v>577.99843809383651</v>
      </c>
    </row>
    <row r="42" spans="1:6">
      <c r="A42" s="242">
        <v>1</v>
      </c>
      <c r="B42" s="237" t="s">
        <v>45</v>
      </c>
      <c r="C42" s="38"/>
      <c r="D42" s="243"/>
      <c r="E42" s="42"/>
      <c r="F42" s="238">
        <f>SUM(F43:F43)</f>
        <v>295.66575676166707</v>
      </c>
    </row>
    <row r="43" spans="1:6">
      <c r="A43" s="96"/>
      <c r="B43" s="239" t="s">
        <v>57</v>
      </c>
      <c r="C43" s="38" t="s">
        <v>46</v>
      </c>
      <c r="D43" s="251">
        <f>HLOOKUP(B43,'Estimativa de horas por produto'!$F$33:$P$85,41,0)</f>
        <v>3.911111111111111</v>
      </c>
      <c r="E43" s="148">
        <f>VLOOKUP(B43,'Custo mao de obra Dnit'!A:AB,28,0)</f>
        <v>75.596358262926245</v>
      </c>
      <c r="F43" s="236">
        <f>D43*E43</f>
        <v>295.66575676166707</v>
      </c>
    </row>
    <row r="44" spans="1:6">
      <c r="A44" s="96"/>
      <c r="B44" s="239"/>
      <c r="C44" s="38"/>
      <c r="D44" s="244" t="s">
        <v>320</v>
      </c>
      <c r="E44" s="49"/>
      <c r="F44" s="236"/>
    </row>
    <row r="45" spans="1:6">
      <c r="A45" s="234"/>
      <c r="B45" s="239"/>
      <c r="C45" s="49"/>
      <c r="D45" s="244"/>
      <c r="E45" s="252"/>
      <c r="F45" s="236"/>
    </row>
    <row r="46" spans="1:6">
      <c r="A46" s="242">
        <v>2</v>
      </c>
      <c r="B46" s="237" t="s">
        <v>201</v>
      </c>
      <c r="C46" s="245"/>
      <c r="D46" s="243"/>
      <c r="E46" s="45"/>
      <c r="F46" s="238">
        <f>SUM(F47:F49)</f>
        <v>128.82157022105832</v>
      </c>
    </row>
    <row r="47" spans="1:6">
      <c r="A47" s="234"/>
      <c r="B47" s="239" t="s">
        <v>223</v>
      </c>
      <c r="C47" s="240" t="s">
        <v>19</v>
      </c>
      <c r="D47" s="244">
        <f>$F$42</f>
        <v>295.66575676166707</v>
      </c>
      <c r="E47" s="252">
        <f>'Custos diversos e BDI - DNIT'!$D$30/100</f>
        <v>0.11110000000000002</v>
      </c>
      <c r="F47" s="236">
        <f>D47*E47</f>
        <v>32.848465576221216</v>
      </c>
    </row>
    <row r="48" spans="1:6">
      <c r="A48" s="234"/>
      <c r="B48" s="239" t="s">
        <v>224</v>
      </c>
      <c r="C48" s="240" t="s">
        <v>19</v>
      </c>
      <c r="D48" s="244">
        <f t="shared" ref="D48:D49" si="5">$F$42</f>
        <v>295.66575676166707</v>
      </c>
      <c r="E48" s="252">
        <f>'Custos diversos e BDI - DNIT'!$D$33/100</f>
        <v>0.12</v>
      </c>
      <c r="F48" s="236">
        <f t="shared" ref="F48:F49" si="6">D48*E48</f>
        <v>35.479890811400047</v>
      </c>
    </row>
    <row r="49" spans="1:6">
      <c r="A49" s="234"/>
      <c r="B49" s="239" t="s">
        <v>225</v>
      </c>
      <c r="C49" s="240" t="s">
        <v>19</v>
      </c>
      <c r="D49" s="244">
        <f t="shared" si="5"/>
        <v>295.66575676166707</v>
      </c>
      <c r="E49" s="252">
        <f>'Custos diversos e BDI - DNIT'!$D$38/100</f>
        <v>0.2046</v>
      </c>
      <c r="F49" s="236">
        <f t="shared" si="6"/>
        <v>60.493213833437082</v>
      </c>
    </row>
    <row r="50" spans="1:6">
      <c r="A50" s="234"/>
      <c r="B50" s="239"/>
      <c r="C50" s="49"/>
      <c r="D50" s="244"/>
      <c r="E50" s="246"/>
      <c r="F50" s="236"/>
    </row>
    <row r="51" spans="1:6">
      <c r="A51" s="102" t="s">
        <v>47</v>
      </c>
      <c r="B51" s="103" t="s">
        <v>10</v>
      </c>
      <c r="C51" s="104" t="s">
        <v>46</v>
      </c>
      <c r="D51" s="105">
        <f>D43</f>
        <v>3.911111111111111</v>
      </c>
      <c r="E51" s="150">
        <f>'Custo Gerencial'!$G$48</f>
        <v>39.25</v>
      </c>
      <c r="F51" s="106">
        <f>D51*E51</f>
        <v>153.51111111111112</v>
      </c>
    </row>
    <row r="52" spans="1:6">
      <c r="A52" s="234"/>
      <c r="B52" s="239"/>
      <c r="C52" s="49"/>
      <c r="D52" s="244"/>
      <c r="E52" s="246"/>
      <c r="F52" s="236"/>
    </row>
    <row r="53" spans="1:6" ht="13.8" thickBot="1">
      <c r="A53" s="107"/>
      <c r="B53" s="247" t="s">
        <v>73</v>
      </c>
      <c r="C53" s="109" t="s">
        <v>21</v>
      </c>
      <c r="D53" s="110">
        <v>1</v>
      </c>
      <c r="E53" s="223">
        <f>F41</f>
        <v>577.99843809383651</v>
      </c>
      <c r="F53" s="112">
        <f>E53*D53</f>
        <v>577.99843809383651</v>
      </c>
    </row>
    <row r="55" spans="1:6" ht="13.8" thickBot="1"/>
    <row r="56" spans="1:6" ht="29.25" customHeight="1">
      <c r="A56" s="292" t="str">
        <f>"Produto "&amp;L8</f>
        <v>Produto 23</v>
      </c>
      <c r="B56" s="333" t="str">
        <f>VLOOKUP(A56,K:M,3,0)</f>
        <v>Elaboração/atualização de cronograma do projeto das Rodovias Integradas do Paraná</v>
      </c>
      <c r="C56" s="333"/>
      <c r="D56" s="333"/>
      <c r="E56" s="333"/>
      <c r="F56" s="334"/>
    </row>
    <row r="57" spans="1:6">
      <c r="A57" s="91" t="s">
        <v>3</v>
      </c>
      <c r="B57" s="92" t="s">
        <v>5</v>
      </c>
      <c r="C57" s="92" t="s">
        <v>6</v>
      </c>
      <c r="D57" s="92" t="s">
        <v>7</v>
      </c>
      <c r="E57" s="92" t="s">
        <v>40</v>
      </c>
      <c r="F57" s="93" t="s">
        <v>41</v>
      </c>
    </row>
    <row r="58" spans="1:6">
      <c r="A58" s="297" t="str">
        <f>"valor mês "&amp;A56</f>
        <v>valor mês Produto 23</v>
      </c>
      <c r="B58" s="237" t="str">
        <f>B56</f>
        <v>Elaboração/atualização de cronograma do projeto das Rodovias Integradas do Paraná</v>
      </c>
      <c r="C58" s="38"/>
      <c r="D58" s="243"/>
      <c r="E58" s="42"/>
      <c r="F58" s="29">
        <f>F59+F63+F68</f>
        <v>577.99843809383651</v>
      </c>
    </row>
    <row r="59" spans="1:6">
      <c r="A59" s="242">
        <v>1</v>
      </c>
      <c r="B59" s="237" t="s">
        <v>45</v>
      </c>
      <c r="C59" s="38"/>
      <c r="D59" s="243"/>
      <c r="E59" s="42"/>
      <c r="F59" s="238">
        <f>SUM(F60:F60)</f>
        <v>295.66575676166707</v>
      </c>
    </row>
    <row r="60" spans="1:6">
      <c r="A60" s="96"/>
      <c r="B60" s="239" t="s">
        <v>57</v>
      </c>
      <c r="C60" s="38" t="s">
        <v>46</v>
      </c>
      <c r="D60" s="251">
        <f>HLOOKUP(B60,'Estimativa de horas por produto'!$F$33:$P$85,42,0)</f>
        <v>3.911111111111111</v>
      </c>
      <c r="E60" s="148">
        <f>VLOOKUP(B60,'Custo mao de obra Dnit'!A:AB,28,0)</f>
        <v>75.596358262926245</v>
      </c>
      <c r="F60" s="236">
        <f>D60*E60</f>
        <v>295.66575676166707</v>
      </c>
    </row>
    <row r="61" spans="1:6">
      <c r="A61" s="96"/>
      <c r="B61" s="239"/>
      <c r="C61" s="38"/>
      <c r="D61" s="244"/>
      <c r="E61" s="49"/>
      <c r="F61" s="236"/>
    </row>
    <row r="62" spans="1:6">
      <c r="A62" s="234"/>
      <c r="B62" s="239"/>
      <c r="C62" s="49"/>
      <c r="D62" s="244"/>
      <c r="E62" s="252"/>
      <c r="F62" s="236"/>
    </row>
    <row r="63" spans="1:6">
      <c r="A63" s="242">
        <v>2</v>
      </c>
      <c r="B63" s="237" t="s">
        <v>201</v>
      </c>
      <c r="C63" s="245"/>
      <c r="D63" s="243"/>
      <c r="E63" s="45"/>
      <c r="F63" s="238">
        <f>SUM(F64:F66)</f>
        <v>128.82157022105832</v>
      </c>
    </row>
    <row r="64" spans="1:6">
      <c r="A64" s="234"/>
      <c r="B64" s="239" t="s">
        <v>223</v>
      </c>
      <c r="C64" s="240" t="s">
        <v>19</v>
      </c>
      <c r="D64" s="244">
        <f t="shared" ref="D64" si="7">$F$59</f>
        <v>295.66575676166707</v>
      </c>
      <c r="E64" s="252">
        <f>'Custos diversos e BDI - DNIT'!$D$30/100</f>
        <v>0.11110000000000002</v>
      </c>
      <c r="F64" s="236">
        <f>D64*E64</f>
        <v>32.848465576221216</v>
      </c>
    </row>
    <row r="65" spans="1:6">
      <c r="A65" s="234"/>
      <c r="B65" s="239" t="s">
        <v>224</v>
      </c>
      <c r="C65" s="240" t="s">
        <v>19</v>
      </c>
      <c r="D65" s="244">
        <f>$F$59</f>
        <v>295.66575676166707</v>
      </c>
      <c r="E65" s="252">
        <f>'Custos diversos e BDI - DNIT'!$D$33/100</f>
        <v>0.12</v>
      </c>
      <c r="F65" s="236">
        <f t="shared" ref="F65:F66" si="8">D65*E65</f>
        <v>35.479890811400047</v>
      </c>
    </row>
    <row r="66" spans="1:6">
      <c r="A66" s="234"/>
      <c r="B66" s="239" t="s">
        <v>225</v>
      </c>
      <c r="C66" s="240" t="s">
        <v>19</v>
      </c>
      <c r="D66" s="244">
        <f t="shared" ref="D66" si="9">$F$59</f>
        <v>295.66575676166707</v>
      </c>
      <c r="E66" s="252">
        <f>'Custos diversos e BDI - DNIT'!$D$38/100</f>
        <v>0.2046</v>
      </c>
      <c r="F66" s="236">
        <f t="shared" si="8"/>
        <v>60.493213833437082</v>
      </c>
    </row>
    <row r="67" spans="1:6">
      <c r="A67" s="234"/>
      <c r="B67" s="239"/>
      <c r="C67" s="49"/>
      <c r="D67" s="244"/>
      <c r="E67" s="246"/>
      <c r="F67" s="236"/>
    </row>
    <row r="68" spans="1:6">
      <c r="A68" s="102" t="s">
        <v>47</v>
      </c>
      <c r="B68" s="103" t="s">
        <v>10</v>
      </c>
      <c r="C68" s="104" t="s">
        <v>46</v>
      </c>
      <c r="D68" s="105">
        <f>D60</f>
        <v>3.911111111111111</v>
      </c>
      <c r="E68" s="150">
        <f>'Custo Gerencial'!$G$48</f>
        <v>39.25</v>
      </c>
      <c r="F68" s="106">
        <f>D68*E68</f>
        <v>153.51111111111112</v>
      </c>
    </row>
    <row r="69" spans="1:6">
      <c r="A69" s="234"/>
      <c r="B69" s="239"/>
      <c r="C69" s="49"/>
      <c r="D69" s="244"/>
      <c r="E69" s="246"/>
      <c r="F69" s="236"/>
    </row>
    <row r="70" spans="1:6" ht="13.8" thickBot="1">
      <c r="A70" s="107"/>
      <c r="B70" s="247" t="s">
        <v>73</v>
      </c>
      <c r="C70" s="109" t="s">
        <v>21</v>
      </c>
      <c r="D70" s="110">
        <v>1</v>
      </c>
      <c r="E70" s="223">
        <f>F58</f>
        <v>577.99843809383651</v>
      </c>
      <c r="F70" s="112">
        <f>E70*D70</f>
        <v>577.99843809383651</v>
      </c>
    </row>
    <row r="72" spans="1:6" ht="13.8" thickBot="1"/>
    <row r="73" spans="1:6" ht="29.25" customHeight="1">
      <c r="A73" s="292" t="str">
        <f>"Produto "&amp;L9</f>
        <v>Produto 24</v>
      </c>
      <c r="B73" s="333" t="str">
        <f>VLOOKUP(A73,K:M,3,0)</f>
        <v>Elaboração/atualização de cronograma do projeto da BR-116/493/RJ/MG (CRT)</v>
      </c>
      <c r="C73" s="333"/>
      <c r="D73" s="333"/>
      <c r="E73" s="333"/>
      <c r="F73" s="334"/>
    </row>
    <row r="74" spans="1:6">
      <c r="A74" s="91" t="s">
        <v>3</v>
      </c>
      <c r="B74" s="92" t="s">
        <v>5</v>
      </c>
      <c r="C74" s="92" t="s">
        <v>6</v>
      </c>
      <c r="D74" s="92" t="s">
        <v>7</v>
      </c>
      <c r="E74" s="92" t="s">
        <v>40</v>
      </c>
      <c r="F74" s="93" t="s">
        <v>41</v>
      </c>
    </row>
    <row r="75" spans="1:6">
      <c r="A75" s="297" t="str">
        <f>"valor mês "&amp;A73</f>
        <v>valor mês Produto 24</v>
      </c>
      <c r="B75" s="237" t="str">
        <f>B73</f>
        <v>Elaboração/atualização de cronograma do projeto da BR-116/493/RJ/MG (CRT)</v>
      </c>
      <c r="C75" s="38"/>
      <c r="D75" s="243"/>
      <c r="E75" s="42"/>
      <c r="F75" s="29">
        <f>F76+F80+F85</f>
        <v>577.99843809383651</v>
      </c>
    </row>
    <row r="76" spans="1:6">
      <c r="A76" s="242">
        <v>1</v>
      </c>
      <c r="B76" s="237" t="s">
        <v>45</v>
      </c>
      <c r="C76" s="38"/>
      <c r="D76" s="243"/>
      <c r="E76" s="42"/>
      <c r="F76" s="238">
        <f>SUM(F77:F77)</f>
        <v>295.66575676166707</v>
      </c>
    </row>
    <row r="77" spans="1:6">
      <c r="A77" s="96"/>
      <c r="B77" s="239" t="s">
        <v>57</v>
      </c>
      <c r="C77" s="38" t="s">
        <v>46</v>
      </c>
      <c r="D77" s="251">
        <f>HLOOKUP(B77,'Estimativa de horas por produto'!$F$33:$P$85,43,0)</f>
        <v>3.911111111111111</v>
      </c>
      <c r="E77" s="148">
        <f>VLOOKUP(B77,'Custo mao de obra Dnit'!A:AB,28,0)</f>
        <v>75.596358262926245</v>
      </c>
      <c r="F77" s="236">
        <f>D77*E77</f>
        <v>295.66575676166707</v>
      </c>
    </row>
    <row r="78" spans="1:6">
      <c r="A78" s="96"/>
      <c r="B78" s="239"/>
      <c r="C78" s="38"/>
      <c r="D78" s="244"/>
      <c r="E78" s="49"/>
      <c r="F78" s="236"/>
    </row>
    <row r="79" spans="1:6">
      <c r="A79" s="234"/>
      <c r="B79" s="239"/>
      <c r="C79" s="49"/>
      <c r="D79" s="244"/>
      <c r="E79" s="252"/>
      <c r="F79" s="236"/>
    </row>
    <row r="80" spans="1:6">
      <c r="A80" s="242">
        <v>2</v>
      </c>
      <c r="B80" s="237" t="s">
        <v>201</v>
      </c>
      <c r="C80" s="245"/>
      <c r="D80" s="243"/>
      <c r="E80" s="45"/>
      <c r="F80" s="238">
        <f>SUM(F81:F83)</f>
        <v>128.82157022105832</v>
      </c>
    </row>
    <row r="81" spans="1:6">
      <c r="A81" s="234"/>
      <c r="B81" s="239" t="s">
        <v>223</v>
      </c>
      <c r="C81" s="240" t="s">
        <v>19</v>
      </c>
      <c r="D81" s="244">
        <f>$F$76</f>
        <v>295.66575676166707</v>
      </c>
      <c r="E81" s="252">
        <f>'Custos diversos e BDI - DNIT'!$D$30/100</f>
        <v>0.11110000000000002</v>
      </c>
      <c r="F81" s="236">
        <f>D81*E81</f>
        <v>32.848465576221216</v>
      </c>
    </row>
    <row r="82" spans="1:6">
      <c r="A82" s="234"/>
      <c r="B82" s="239" t="s">
        <v>224</v>
      </c>
      <c r="C82" s="240" t="s">
        <v>19</v>
      </c>
      <c r="D82" s="244">
        <f t="shared" ref="D82:D83" si="10">$F$76</f>
        <v>295.66575676166707</v>
      </c>
      <c r="E82" s="252">
        <f>'Custos diversos e BDI - DNIT'!$D$33/100</f>
        <v>0.12</v>
      </c>
      <c r="F82" s="236">
        <f t="shared" ref="F82:F83" si="11">D82*E82</f>
        <v>35.479890811400047</v>
      </c>
    </row>
    <row r="83" spans="1:6">
      <c r="A83" s="234"/>
      <c r="B83" s="239" t="s">
        <v>225</v>
      </c>
      <c r="C83" s="240" t="s">
        <v>19</v>
      </c>
      <c r="D83" s="244">
        <f t="shared" si="10"/>
        <v>295.66575676166707</v>
      </c>
      <c r="E83" s="252">
        <f>'Custos diversos e BDI - DNIT'!$D$38/100</f>
        <v>0.2046</v>
      </c>
      <c r="F83" s="236">
        <f t="shared" si="11"/>
        <v>60.493213833437082</v>
      </c>
    </row>
    <row r="84" spans="1:6">
      <c r="A84" s="234"/>
      <c r="B84" s="239"/>
      <c r="C84" s="49"/>
      <c r="D84" s="244"/>
      <c r="E84" s="246"/>
      <c r="F84" s="236"/>
    </row>
    <row r="85" spans="1:6">
      <c r="A85" s="102" t="s">
        <v>47</v>
      </c>
      <c r="B85" s="103" t="s">
        <v>10</v>
      </c>
      <c r="C85" s="104" t="s">
        <v>46</v>
      </c>
      <c r="D85" s="105">
        <f>D77</f>
        <v>3.911111111111111</v>
      </c>
      <c r="E85" s="150">
        <f>'Custo Gerencial'!$G$48</f>
        <v>39.25</v>
      </c>
      <c r="F85" s="106">
        <f>D85*E85</f>
        <v>153.51111111111112</v>
      </c>
    </row>
    <row r="86" spans="1:6">
      <c r="A86" s="234"/>
      <c r="B86" s="239"/>
      <c r="C86" s="49"/>
      <c r="D86" s="244"/>
      <c r="E86" s="246"/>
      <c r="F86" s="236"/>
    </row>
    <row r="87" spans="1:6" ht="13.8" thickBot="1">
      <c r="A87" s="107"/>
      <c r="B87" s="247" t="s">
        <v>73</v>
      </c>
      <c r="C87" s="109" t="s">
        <v>21</v>
      </c>
      <c r="D87" s="110">
        <v>1</v>
      </c>
      <c r="E87" s="223">
        <f>F75</f>
        <v>577.99843809383651</v>
      </c>
      <c r="F87" s="112">
        <f>E87*D87</f>
        <v>577.99843809383651</v>
      </c>
    </row>
    <row r="89" spans="1:6" ht="13.8" thickBot="1"/>
    <row r="90" spans="1:6" ht="29.25" customHeight="1">
      <c r="A90" s="292" t="str">
        <f>"Produto "&amp;L10</f>
        <v>Produto 25</v>
      </c>
      <c r="B90" s="333" t="str">
        <f>VLOOKUP(A90,K:M,3,0)</f>
        <v>Elaboração/atualização de cronograma do projeto da EF-334 (FIOL)</v>
      </c>
      <c r="C90" s="333"/>
      <c r="D90" s="333"/>
      <c r="E90" s="333"/>
      <c r="F90" s="334"/>
    </row>
    <row r="91" spans="1:6">
      <c r="A91" s="91" t="s">
        <v>3</v>
      </c>
      <c r="B91" s="92" t="s">
        <v>5</v>
      </c>
      <c r="C91" s="92" t="s">
        <v>6</v>
      </c>
      <c r="D91" s="92" t="s">
        <v>7</v>
      </c>
      <c r="E91" s="92" t="s">
        <v>40</v>
      </c>
      <c r="F91" s="93" t="s">
        <v>41</v>
      </c>
    </row>
    <row r="92" spans="1:6">
      <c r="A92" s="297" t="str">
        <f>"valor mês "&amp;A90</f>
        <v>valor mês Produto 25</v>
      </c>
      <c r="B92" s="237" t="str">
        <f>B90</f>
        <v>Elaboração/atualização de cronograma do projeto da EF-334 (FIOL)</v>
      </c>
      <c r="C92" s="38"/>
      <c r="D92" s="243"/>
      <c r="E92" s="42"/>
      <c r="F92" s="29">
        <f>F93+F97+F102</f>
        <v>577.99843809383651</v>
      </c>
    </row>
    <row r="93" spans="1:6">
      <c r="A93" s="242">
        <v>1</v>
      </c>
      <c r="B93" s="237" t="s">
        <v>45</v>
      </c>
      <c r="C93" s="38"/>
      <c r="D93" s="243"/>
      <c r="E93" s="42"/>
      <c r="F93" s="238">
        <f>SUM(F94:F94)</f>
        <v>295.66575676166707</v>
      </c>
    </row>
    <row r="94" spans="1:6">
      <c r="A94" s="96"/>
      <c r="B94" s="239" t="s">
        <v>57</v>
      </c>
      <c r="C94" s="38" t="s">
        <v>46</v>
      </c>
      <c r="D94" s="251">
        <f>HLOOKUP(B94,'Estimativa de horas por produto'!$F$33:$P$85,44,0)</f>
        <v>3.911111111111111</v>
      </c>
      <c r="E94" s="148">
        <f>VLOOKUP(B94,'Custo mao de obra Dnit'!A:AB,28,0)</f>
        <v>75.596358262926245</v>
      </c>
      <c r="F94" s="236">
        <f>D94*E94</f>
        <v>295.66575676166707</v>
      </c>
    </row>
    <row r="95" spans="1:6">
      <c r="A95" s="96"/>
      <c r="B95" s="239"/>
      <c r="C95" s="38"/>
      <c r="D95" s="244"/>
      <c r="E95" s="49"/>
      <c r="F95" s="236"/>
    </row>
    <row r="96" spans="1:6">
      <c r="A96" s="234"/>
      <c r="B96" s="239"/>
      <c r="C96" s="49"/>
      <c r="D96" s="244"/>
      <c r="E96" s="252"/>
      <c r="F96" s="236"/>
    </row>
    <row r="97" spans="1:6">
      <c r="A97" s="242">
        <v>2</v>
      </c>
      <c r="B97" s="237" t="s">
        <v>201</v>
      </c>
      <c r="C97" s="245"/>
      <c r="D97" s="243"/>
      <c r="E97" s="45"/>
      <c r="F97" s="238">
        <f>SUM(F98:F100)</f>
        <v>128.82157022105832</v>
      </c>
    </row>
    <row r="98" spans="1:6">
      <c r="A98" s="234"/>
      <c r="B98" s="239" t="s">
        <v>223</v>
      </c>
      <c r="C98" s="240" t="s">
        <v>19</v>
      </c>
      <c r="D98" s="244">
        <f>$F$93</f>
        <v>295.66575676166707</v>
      </c>
      <c r="E98" s="252">
        <f>'Custos diversos e BDI - DNIT'!$D$30/100</f>
        <v>0.11110000000000002</v>
      </c>
      <c r="F98" s="236">
        <f>D98*E98</f>
        <v>32.848465576221216</v>
      </c>
    </row>
    <row r="99" spans="1:6">
      <c r="A99" s="234"/>
      <c r="B99" s="239" t="s">
        <v>224</v>
      </c>
      <c r="C99" s="240" t="s">
        <v>19</v>
      </c>
      <c r="D99" s="244">
        <f t="shared" ref="D99:D100" si="12">$F$93</f>
        <v>295.66575676166707</v>
      </c>
      <c r="E99" s="252">
        <f>'Custos diversos e BDI - DNIT'!$D$33/100</f>
        <v>0.12</v>
      </c>
      <c r="F99" s="236">
        <f t="shared" ref="F99:F100" si="13">D99*E99</f>
        <v>35.479890811400047</v>
      </c>
    </row>
    <row r="100" spans="1:6">
      <c r="A100" s="234"/>
      <c r="B100" s="239" t="s">
        <v>225</v>
      </c>
      <c r="C100" s="240" t="s">
        <v>19</v>
      </c>
      <c r="D100" s="244">
        <f t="shared" si="12"/>
        <v>295.66575676166707</v>
      </c>
      <c r="E100" s="252">
        <f>'Custos diversos e BDI - DNIT'!$D$38/100</f>
        <v>0.2046</v>
      </c>
      <c r="F100" s="236">
        <f t="shared" si="13"/>
        <v>60.493213833437082</v>
      </c>
    </row>
    <row r="101" spans="1:6">
      <c r="A101" s="234"/>
      <c r="B101" s="239"/>
      <c r="C101" s="49"/>
      <c r="D101" s="244"/>
      <c r="E101" s="246"/>
      <c r="F101" s="236"/>
    </row>
    <row r="102" spans="1:6">
      <c r="A102" s="102" t="s">
        <v>47</v>
      </c>
      <c r="B102" s="103" t="s">
        <v>10</v>
      </c>
      <c r="C102" s="104" t="s">
        <v>46</v>
      </c>
      <c r="D102" s="105">
        <f>D94</f>
        <v>3.911111111111111</v>
      </c>
      <c r="E102" s="150">
        <f>'Custo Gerencial'!$G$48</f>
        <v>39.25</v>
      </c>
      <c r="F102" s="106">
        <f>D102*E102</f>
        <v>153.51111111111112</v>
      </c>
    </row>
    <row r="103" spans="1:6">
      <c r="A103" s="234"/>
      <c r="B103" s="239"/>
      <c r="C103" s="49"/>
      <c r="D103" s="244"/>
      <c r="E103" s="246"/>
      <c r="F103" s="236"/>
    </row>
    <row r="104" spans="1:6" ht="13.8" thickBot="1">
      <c r="A104" s="107"/>
      <c r="B104" s="247" t="s">
        <v>73</v>
      </c>
      <c r="C104" s="109" t="s">
        <v>21</v>
      </c>
      <c r="D104" s="110">
        <v>1</v>
      </c>
      <c r="E104" s="223">
        <f>F92</f>
        <v>577.99843809383651</v>
      </c>
      <c r="F104" s="112">
        <f>E104*D104</f>
        <v>577.99843809383651</v>
      </c>
    </row>
    <row r="106" spans="1:6" ht="13.8" thickBot="1"/>
    <row r="107" spans="1:6" ht="29.25" customHeight="1">
      <c r="A107" s="292" t="str">
        <f>"Produto "&amp;L11</f>
        <v>Produto 26</v>
      </c>
      <c r="B107" s="333" t="str">
        <f>VLOOKUP(A107,K:M,3,0)</f>
        <v>Elaboração/atualização de cronograma do projeto da EF-170 (Ferrogrão)</v>
      </c>
      <c r="C107" s="333"/>
      <c r="D107" s="333"/>
      <c r="E107" s="333"/>
      <c r="F107" s="334"/>
    </row>
    <row r="108" spans="1:6">
      <c r="A108" s="91" t="s">
        <v>3</v>
      </c>
      <c r="B108" s="92" t="s">
        <v>5</v>
      </c>
      <c r="C108" s="92" t="s">
        <v>6</v>
      </c>
      <c r="D108" s="92" t="s">
        <v>7</v>
      </c>
      <c r="E108" s="92" t="s">
        <v>40</v>
      </c>
      <c r="F108" s="93" t="s">
        <v>41</v>
      </c>
    </row>
    <row r="109" spans="1:6">
      <c r="A109" s="297" t="str">
        <f>"valor mês "&amp;A107</f>
        <v>valor mês Produto 26</v>
      </c>
      <c r="B109" s="237" t="str">
        <f>B107</f>
        <v>Elaboração/atualização de cronograma do projeto da EF-170 (Ferrogrão)</v>
      </c>
      <c r="C109" s="38"/>
      <c r="D109" s="243"/>
      <c r="E109" s="42"/>
      <c r="F109" s="29">
        <f>F110+F114+F119</f>
        <v>577.99843809383651</v>
      </c>
    </row>
    <row r="110" spans="1:6">
      <c r="A110" s="242">
        <v>1</v>
      </c>
      <c r="B110" s="237" t="s">
        <v>45</v>
      </c>
      <c r="C110" s="38"/>
      <c r="D110" s="243"/>
      <c r="E110" s="42"/>
      <c r="F110" s="238">
        <f>SUM(F111:F111)</f>
        <v>295.66575676166707</v>
      </c>
    </row>
    <row r="111" spans="1:6">
      <c r="A111" s="96"/>
      <c r="B111" s="239" t="s">
        <v>57</v>
      </c>
      <c r="C111" s="38" t="s">
        <v>46</v>
      </c>
      <c r="D111" s="251">
        <f>HLOOKUP(B111,'Estimativa de horas por produto'!$F$33:$P$85,45,0)</f>
        <v>3.911111111111111</v>
      </c>
      <c r="E111" s="148">
        <f>VLOOKUP(B111,'Custo mao de obra Dnit'!A:AB,28,0)</f>
        <v>75.596358262926245</v>
      </c>
      <c r="F111" s="236">
        <f>D111*E111</f>
        <v>295.66575676166707</v>
      </c>
    </row>
    <row r="112" spans="1:6">
      <c r="A112" s="96"/>
      <c r="B112" s="239"/>
      <c r="C112" s="38"/>
      <c r="D112" s="244"/>
      <c r="E112" s="49"/>
      <c r="F112" s="236"/>
    </row>
    <row r="113" spans="1:6">
      <c r="A113" s="234"/>
      <c r="B113" s="239"/>
      <c r="C113" s="49"/>
      <c r="D113" s="244"/>
      <c r="E113" s="252"/>
      <c r="F113" s="236"/>
    </row>
    <row r="114" spans="1:6">
      <c r="A114" s="242">
        <v>2</v>
      </c>
      <c r="B114" s="237" t="s">
        <v>201</v>
      </c>
      <c r="C114" s="245"/>
      <c r="D114" s="243"/>
      <c r="E114" s="45"/>
      <c r="F114" s="238">
        <f>SUM(F115:F117)</f>
        <v>128.82157022105832</v>
      </c>
    </row>
    <row r="115" spans="1:6">
      <c r="A115" s="234"/>
      <c r="B115" s="239" t="s">
        <v>223</v>
      </c>
      <c r="C115" s="240" t="s">
        <v>19</v>
      </c>
      <c r="D115" s="244">
        <f>$F$110</f>
        <v>295.66575676166707</v>
      </c>
      <c r="E115" s="252">
        <f>'Custos diversos e BDI - DNIT'!$D$30/100</f>
        <v>0.11110000000000002</v>
      </c>
      <c r="F115" s="236">
        <f>D115*E115</f>
        <v>32.848465576221216</v>
      </c>
    </row>
    <row r="116" spans="1:6">
      <c r="A116" s="234"/>
      <c r="B116" s="239" t="s">
        <v>224</v>
      </c>
      <c r="C116" s="240" t="s">
        <v>19</v>
      </c>
      <c r="D116" s="244">
        <f t="shared" ref="D116:D117" si="14">$F$110</f>
        <v>295.66575676166707</v>
      </c>
      <c r="E116" s="252">
        <f>'Custos diversos e BDI - DNIT'!$D$33/100</f>
        <v>0.12</v>
      </c>
      <c r="F116" s="236">
        <f t="shared" ref="F116:F117" si="15">D116*E116</f>
        <v>35.479890811400047</v>
      </c>
    </row>
    <row r="117" spans="1:6">
      <c r="A117" s="234"/>
      <c r="B117" s="239" t="s">
        <v>225</v>
      </c>
      <c r="C117" s="240" t="s">
        <v>19</v>
      </c>
      <c r="D117" s="244">
        <f t="shared" si="14"/>
        <v>295.66575676166707</v>
      </c>
      <c r="E117" s="252">
        <f>'Custos diversos e BDI - DNIT'!$D$38/100</f>
        <v>0.2046</v>
      </c>
      <c r="F117" s="236">
        <f t="shared" si="15"/>
        <v>60.493213833437082</v>
      </c>
    </row>
    <row r="118" spans="1:6">
      <c r="A118" s="234"/>
      <c r="B118" s="239"/>
      <c r="C118" s="49"/>
      <c r="D118" s="244"/>
      <c r="E118" s="246"/>
      <c r="F118" s="236"/>
    </row>
    <row r="119" spans="1:6">
      <c r="A119" s="102" t="s">
        <v>47</v>
      </c>
      <c r="B119" s="103" t="s">
        <v>10</v>
      </c>
      <c r="C119" s="104" t="s">
        <v>46</v>
      </c>
      <c r="D119" s="105">
        <f>D111</f>
        <v>3.911111111111111</v>
      </c>
      <c r="E119" s="150">
        <f>'Custo Gerencial'!$G$48</f>
        <v>39.25</v>
      </c>
      <c r="F119" s="106">
        <f>D119*E119</f>
        <v>153.51111111111112</v>
      </c>
    </row>
    <row r="120" spans="1:6">
      <c r="A120" s="234"/>
      <c r="B120" s="239"/>
      <c r="C120" s="49"/>
      <c r="D120" s="244"/>
      <c r="E120" s="246"/>
      <c r="F120" s="236"/>
    </row>
    <row r="121" spans="1:6" ht="13.8" thickBot="1">
      <c r="A121" s="107"/>
      <c r="B121" s="247" t="s">
        <v>73</v>
      </c>
      <c r="C121" s="109" t="s">
        <v>21</v>
      </c>
      <c r="D121" s="110">
        <v>1</v>
      </c>
      <c r="E121" s="223">
        <f>F109</f>
        <v>577.99843809383651</v>
      </c>
      <c r="F121" s="112">
        <f>E121*D121</f>
        <v>577.99843809383651</v>
      </c>
    </row>
    <row r="123" spans="1:6" ht="13.8" thickBot="1"/>
    <row r="124" spans="1:6" ht="29.25" customHeight="1">
      <c r="A124" s="292" t="str">
        <f>"Produto "&amp;L12</f>
        <v>Produto 27</v>
      </c>
      <c r="B124" s="333" t="str">
        <f>VLOOKUP(A124,K:M,3,0)</f>
        <v>Elaboração/atualização de cronograma do projeto da BR-470/282/153/SC</v>
      </c>
      <c r="C124" s="333"/>
      <c r="D124" s="333"/>
      <c r="E124" s="333"/>
      <c r="F124" s="334"/>
    </row>
    <row r="125" spans="1:6">
      <c r="A125" s="91" t="s">
        <v>3</v>
      </c>
      <c r="B125" s="92" t="s">
        <v>5</v>
      </c>
      <c r="C125" s="92" t="s">
        <v>6</v>
      </c>
      <c r="D125" s="92" t="s">
        <v>7</v>
      </c>
      <c r="E125" s="92" t="s">
        <v>40</v>
      </c>
      <c r="F125" s="93" t="s">
        <v>41</v>
      </c>
    </row>
    <row r="126" spans="1:6">
      <c r="A126" s="297" t="str">
        <f>"valor mês "&amp;A124</f>
        <v>valor mês Produto 27</v>
      </c>
      <c r="B126" s="237" t="str">
        <f>B124</f>
        <v>Elaboração/atualização de cronograma do projeto da BR-470/282/153/SC</v>
      </c>
      <c r="C126" s="38"/>
      <c r="D126" s="243"/>
      <c r="E126" s="42"/>
      <c r="F126" s="29">
        <f>F127+F131+F136</f>
        <v>577.99843809383651</v>
      </c>
    </row>
    <row r="127" spans="1:6">
      <c r="A127" s="242">
        <v>1</v>
      </c>
      <c r="B127" s="237" t="s">
        <v>45</v>
      </c>
      <c r="C127" s="38"/>
      <c r="D127" s="243"/>
      <c r="E127" s="42"/>
      <c r="F127" s="238">
        <f>SUM(F128:F128)</f>
        <v>295.66575676166707</v>
      </c>
    </row>
    <row r="128" spans="1:6">
      <c r="A128" s="96"/>
      <c r="B128" s="239" t="s">
        <v>57</v>
      </c>
      <c r="C128" s="38" t="s">
        <v>46</v>
      </c>
      <c r="D128" s="251">
        <f>HLOOKUP(B128,'Estimativa de horas por produto'!$F$33:$P$85,46,0)</f>
        <v>3.911111111111111</v>
      </c>
      <c r="E128" s="148">
        <f>VLOOKUP(B128,'Custo mao de obra Dnit'!A:AB,28,0)</f>
        <v>75.596358262926245</v>
      </c>
      <c r="F128" s="236">
        <f>D128*E128</f>
        <v>295.66575676166707</v>
      </c>
    </row>
    <row r="129" spans="1:6">
      <c r="A129" s="96"/>
      <c r="B129" s="239"/>
      <c r="C129" s="38"/>
      <c r="D129" s="244"/>
      <c r="E129" s="49"/>
      <c r="F129" s="236"/>
    </row>
    <row r="130" spans="1:6">
      <c r="A130" s="234"/>
      <c r="B130" s="239"/>
      <c r="C130" s="49"/>
      <c r="D130" s="244"/>
      <c r="E130" s="252"/>
      <c r="F130" s="236"/>
    </row>
    <row r="131" spans="1:6">
      <c r="A131" s="242">
        <v>2</v>
      </c>
      <c r="B131" s="237" t="s">
        <v>201</v>
      </c>
      <c r="C131" s="245"/>
      <c r="D131" s="243"/>
      <c r="E131" s="45"/>
      <c r="F131" s="238">
        <f>SUM(F132:F134)</f>
        <v>128.82157022105832</v>
      </c>
    </row>
    <row r="132" spans="1:6">
      <c r="A132" s="234"/>
      <c r="B132" s="239" t="s">
        <v>223</v>
      </c>
      <c r="C132" s="240" t="s">
        <v>19</v>
      </c>
      <c r="D132" s="244">
        <f>$F$127</f>
        <v>295.66575676166707</v>
      </c>
      <c r="E132" s="252">
        <f>'Custos diversos e BDI - DNIT'!$D$30/100</f>
        <v>0.11110000000000002</v>
      </c>
      <c r="F132" s="236">
        <f>D132*E132</f>
        <v>32.848465576221216</v>
      </c>
    </row>
    <row r="133" spans="1:6">
      <c r="A133" s="234"/>
      <c r="B133" s="239" t="s">
        <v>224</v>
      </c>
      <c r="C133" s="240" t="s">
        <v>19</v>
      </c>
      <c r="D133" s="244">
        <f t="shared" ref="D133:D134" si="16">$F$127</f>
        <v>295.66575676166707</v>
      </c>
      <c r="E133" s="252">
        <f>'Custos diversos e BDI - DNIT'!$D$33/100</f>
        <v>0.12</v>
      </c>
      <c r="F133" s="236">
        <f t="shared" ref="F133:F134" si="17">D133*E133</f>
        <v>35.479890811400047</v>
      </c>
    </row>
    <row r="134" spans="1:6">
      <c r="A134" s="234"/>
      <c r="B134" s="239" t="s">
        <v>225</v>
      </c>
      <c r="C134" s="240" t="s">
        <v>19</v>
      </c>
      <c r="D134" s="244">
        <f t="shared" si="16"/>
        <v>295.66575676166707</v>
      </c>
      <c r="E134" s="252">
        <f>'Custos diversos e BDI - DNIT'!$D$38/100</f>
        <v>0.2046</v>
      </c>
      <c r="F134" s="236">
        <f t="shared" si="17"/>
        <v>60.493213833437082</v>
      </c>
    </row>
    <row r="135" spans="1:6">
      <c r="A135" s="234"/>
      <c r="B135" s="239"/>
      <c r="C135" s="49"/>
      <c r="D135" s="244"/>
      <c r="E135" s="246"/>
      <c r="F135" s="236"/>
    </row>
    <row r="136" spans="1:6">
      <c r="A136" s="102" t="s">
        <v>47</v>
      </c>
      <c r="B136" s="103" t="s">
        <v>10</v>
      </c>
      <c r="C136" s="104" t="s">
        <v>46</v>
      </c>
      <c r="D136" s="105">
        <f>D128</f>
        <v>3.911111111111111</v>
      </c>
      <c r="E136" s="150">
        <f>'Custo Gerencial'!$G$48</f>
        <v>39.25</v>
      </c>
      <c r="F136" s="106">
        <f>D136*E136</f>
        <v>153.51111111111112</v>
      </c>
    </row>
    <row r="137" spans="1:6">
      <c r="A137" s="234"/>
      <c r="B137" s="239"/>
      <c r="C137" s="49"/>
      <c r="D137" s="244"/>
      <c r="E137" s="246"/>
      <c r="F137" s="236"/>
    </row>
    <row r="138" spans="1:6" ht="13.8" thickBot="1">
      <c r="A138" s="107"/>
      <c r="B138" s="247" t="s">
        <v>73</v>
      </c>
      <c r="C138" s="109" t="s">
        <v>21</v>
      </c>
      <c r="D138" s="110">
        <v>1</v>
      </c>
      <c r="E138" s="223">
        <f>F126</f>
        <v>577.99843809383651</v>
      </c>
      <c r="F138" s="112">
        <f>E138*D138</f>
        <v>577.99843809383651</v>
      </c>
    </row>
    <row r="140" spans="1:6" ht="13.8" thickBot="1"/>
    <row r="141" spans="1:6" ht="29.25" customHeight="1">
      <c r="A141" s="292" t="str">
        <f>"Produto "&amp;L13</f>
        <v>Produto 28</v>
      </c>
      <c r="B141" s="333" t="str">
        <f>VLOOKUP(A141,K:M,3,0)</f>
        <v>Elaboração/atualização de cronograma do projeto da BR-040/495/MG/RJ (Concer)</v>
      </c>
      <c r="C141" s="333"/>
      <c r="D141" s="333"/>
      <c r="E141" s="333"/>
      <c r="F141" s="334"/>
    </row>
    <row r="142" spans="1:6">
      <c r="A142" s="91" t="s">
        <v>3</v>
      </c>
      <c r="B142" s="92" t="s">
        <v>5</v>
      </c>
      <c r="C142" s="92" t="s">
        <v>6</v>
      </c>
      <c r="D142" s="92" t="s">
        <v>7</v>
      </c>
      <c r="E142" s="92" t="s">
        <v>40</v>
      </c>
      <c r="F142" s="93" t="s">
        <v>41</v>
      </c>
    </row>
    <row r="143" spans="1:6">
      <c r="A143" s="297" t="str">
        <f>"valor mês "&amp;A141</f>
        <v>valor mês Produto 28</v>
      </c>
      <c r="B143" s="237" t="str">
        <f>B141</f>
        <v>Elaboração/atualização de cronograma do projeto da BR-040/495/MG/RJ (Concer)</v>
      </c>
      <c r="C143" s="38"/>
      <c r="D143" s="243"/>
      <c r="E143" s="42"/>
      <c r="F143" s="29">
        <f>F144+F148+F153</f>
        <v>577.99843809383651</v>
      </c>
    </row>
    <row r="144" spans="1:6">
      <c r="A144" s="242">
        <v>1</v>
      </c>
      <c r="B144" s="237" t="s">
        <v>45</v>
      </c>
      <c r="C144" s="38"/>
      <c r="D144" s="243"/>
      <c r="E144" s="42"/>
      <c r="F144" s="238">
        <f>SUM(F145:F145)</f>
        <v>295.66575676166707</v>
      </c>
    </row>
    <row r="145" spans="1:6">
      <c r="A145" s="96"/>
      <c r="B145" s="239" t="s">
        <v>57</v>
      </c>
      <c r="C145" s="38" t="s">
        <v>46</v>
      </c>
      <c r="D145" s="251">
        <f>HLOOKUP(B145,'Estimativa de horas por produto'!$F$33:$P$85,47,0)</f>
        <v>3.911111111111111</v>
      </c>
      <c r="E145" s="148">
        <f>VLOOKUP(B145,'Custo mao de obra Dnit'!A:AB,28,0)</f>
        <v>75.596358262926245</v>
      </c>
      <c r="F145" s="236">
        <f>D145*E145</f>
        <v>295.66575676166707</v>
      </c>
    </row>
    <row r="146" spans="1:6">
      <c r="A146" s="96"/>
      <c r="B146" s="239"/>
      <c r="C146" s="38"/>
      <c r="D146" s="244"/>
      <c r="E146" s="49"/>
      <c r="F146" s="236"/>
    </row>
    <row r="147" spans="1:6">
      <c r="A147" s="234"/>
      <c r="B147" s="239"/>
      <c r="C147" s="49"/>
      <c r="D147" s="244"/>
      <c r="E147" s="252"/>
      <c r="F147" s="236"/>
    </row>
    <row r="148" spans="1:6">
      <c r="A148" s="242">
        <v>2</v>
      </c>
      <c r="B148" s="237" t="s">
        <v>201</v>
      </c>
      <c r="C148" s="245"/>
      <c r="D148" s="243"/>
      <c r="E148" s="45"/>
      <c r="F148" s="238">
        <f>SUM(F149:F151)</f>
        <v>128.82157022105832</v>
      </c>
    </row>
    <row r="149" spans="1:6">
      <c r="A149" s="234"/>
      <c r="B149" s="239" t="s">
        <v>223</v>
      </c>
      <c r="C149" s="240" t="s">
        <v>19</v>
      </c>
      <c r="D149" s="244">
        <f>$F$144</f>
        <v>295.66575676166707</v>
      </c>
      <c r="E149" s="252">
        <f>'Custos diversos e BDI - DNIT'!$D$30/100</f>
        <v>0.11110000000000002</v>
      </c>
      <c r="F149" s="236">
        <f>D149*E149</f>
        <v>32.848465576221216</v>
      </c>
    </row>
    <row r="150" spans="1:6">
      <c r="A150" s="234"/>
      <c r="B150" s="239" t="s">
        <v>224</v>
      </c>
      <c r="C150" s="240" t="s">
        <v>19</v>
      </c>
      <c r="D150" s="244">
        <f t="shared" ref="D150:D151" si="18">$F$144</f>
        <v>295.66575676166707</v>
      </c>
      <c r="E150" s="252">
        <f>'Custos diversos e BDI - DNIT'!$D$33/100</f>
        <v>0.12</v>
      </c>
      <c r="F150" s="236">
        <f t="shared" ref="F150:F151" si="19">D150*E150</f>
        <v>35.479890811400047</v>
      </c>
    </row>
    <row r="151" spans="1:6">
      <c r="A151" s="234"/>
      <c r="B151" s="239" t="s">
        <v>225</v>
      </c>
      <c r="C151" s="240" t="s">
        <v>19</v>
      </c>
      <c r="D151" s="244">
        <f t="shared" si="18"/>
        <v>295.66575676166707</v>
      </c>
      <c r="E151" s="252">
        <f>'Custos diversos e BDI - DNIT'!$D$38/100</f>
        <v>0.2046</v>
      </c>
      <c r="F151" s="236">
        <f t="shared" si="19"/>
        <v>60.493213833437082</v>
      </c>
    </row>
    <row r="152" spans="1:6">
      <c r="A152" s="234"/>
      <c r="B152" s="239"/>
      <c r="C152" s="49"/>
      <c r="D152" s="244"/>
      <c r="E152" s="246"/>
      <c r="F152" s="236"/>
    </row>
    <row r="153" spans="1:6">
      <c r="A153" s="102" t="s">
        <v>47</v>
      </c>
      <c r="B153" s="103" t="s">
        <v>10</v>
      </c>
      <c r="C153" s="104" t="s">
        <v>46</v>
      </c>
      <c r="D153" s="105">
        <f>D145</f>
        <v>3.911111111111111</v>
      </c>
      <c r="E153" s="150">
        <f>'Custo Gerencial'!$G$48</f>
        <v>39.25</v>
      </c>
      <c r="F153" s="106">
        <f>D153*E153</f>
        <v>153.51111111111112</v>
      </c>
    </row>
    <row r="154" spans="1:6">
      <c r="A154" s="234"/>
      <c r="B154" s="239"/>
      <c r="C154" s="49"/>
      <c r="D154" s="244"/>
      <c r="E154" s="246"/>
      <c r="F154" s="236"/>
    </row>
    <row r="155" spans="1:6" ht="13.8" thickBot="1">
      <c r="A155" s="107"/>
      <c r="B155" s="247" t="s">
        <v>73</v>
      </c>
      <c r="C155" s="109" t="s">
        <v>21</v>
      </c>
      <c r="D155" s="110">
        <v>1</v>
      </c>
      <c r="E155" s="223">
        <f>F143</f>
        <v>577.99843809383651</v>
      </c>
      <c r="F155" s="112">
        <f>E155*D155</f>
        <v>577.99843809383651</v>
      </c>
    </row>
    <row r="157" spans="1:6" ht="13.8" thickBot="1"/>
    <row r="158" spans="1:6" ht="29.25" customHeight="1">
      <c r="A158" s="292" t="str">
        <f>"Produto "&amp;L14</f>
        <v>Produto 29</v>
      </c>
      <c r="B158" s="333" t="str">
        <f>VLOOKUP(A158,K:M,3,0)</f>
        <v>Elaboração/atualização de cronograma do projeto das Rodovias Contratação BNDES (5.300 km)</v>
      </c>
      <c r="C158" s="333"/>
      <c r="D158" s="333"/>
      <c r="E158" s="333"/>
      <c r="F158" s="334"/>
    </row>
    <row r="159" spans="1:6">
      <c r="A159" s="91" t="s">
        <v>3</v>
      </c>
      <c r="B159" s="92" t="s">
        <v>5</v>
      </c>
      <c r="C159" s="92" t="s">
        <v>6</v>
      </c>
      <c r="D159" s="92" t="s">
        <v>7</v>
      </c>
      <c r="E159" s="92" t="s">
        <v>40</v>
      </c>
      <c r="F159" s="93" t="s">
        <v>41</v>
      </c>
    </row>
    <row r="160" spans="1:6">
      <c r="A160" s="297" t="str">
        <f>"valor mês "&amp;A158</f>
        <v>valor mês Produto 29</v>
      </c>
      <c r="B160" s="237" t="str">
        <f>B158</f>
        <v>Elaboração/atualização de cronograma do projeto das Rodovias Contratação BNDES (5.300 km)</v>
      </c>
      <c r="C160" s="38"/>
      <c r="D160" s="243"/>
      <c r="E160" s="42"/>
      <c r="F160" s="29">
        <f>F161+F165+F170</f>
        <v>577.99843809383651</v>
      </c>
    </row>
    <row r="161" spans="1:6">
      <c r="A161" s="242">
        <v>1</v>
      </c>
      <c r="B161" s="237" t="s">
        <v>45</v>
      </c>
      <c r="C161" s="38"/>
      <c r="D161" s="243"/>
      <c r="E161" s="42"/>
      <c r="F161" s="238">
        <f>SUM(F162:F162)</f>
        <v>295.66575676166707</v>
      </c>
    </row>
    <row r="162" spans="1:6">
      <c r="A162" s="96"/>
      <c r="B162" s="239" t="s">
        <v>57</v>
      </c>
      <c r="C162" s="38" t="s">
        <v>46</v>
      </c>
      <c r="D162" s="251">
        <f>HLOOKUP(B162,'Estimativa de horas por produto'!$F$33:$P$85,48,0)</f>
        <v>3.911111111111111</v>
      </c>
      <c r="E162" s="148">
        <f>VLOOKUP(B162,'Custo mao de obra Dnit'!A:AB,28,0)</f>
        <v>75.596358262926245</v>
      </c>
      <c r="F162" s="236">
        <f>D162*E162</f>
        <v>295.66575676166707</v>
      </c>
    </row>
    <row r="163" spans="1:6">
      <c r="A163" s="96"/>
      <c r="B163" s="239"/>
      <c r="C163" s="38"/>
      <c r="D163" s="244"/>
      <c r="E163" s="49"/>
      <c r="F163" s="236"/>
    </row>
    <row r="164" spans="1:6">
      <c r="A164" s="234"/>
      <c r="B164" s="239"/>
      <c r="C164" s="49"/>
      <c r="D164" s="244"/>
      <c r="E164" s="252"/>
      <c r="F164" s="236"/>
    </row>
    <row r="165" spans="1:6">
      <c r="A165" s="242">
        <v>2</v>
      </c>
      <c r="B165" s="237" t="s">
        <v>201</v>
      </c>
      <c r="C165" s="245"/>
      <c r="D165" s="243"/>
      <c r="E165" s="45"/>
      <c r="F165" s="238">
        <f>SUM(F166:F168)</f>
        <v>128.82157022105832</v>
      </c>
    </row>
    <row r="166" spans="1:6">
      <c r="A166" s="234"/>
      <c r="B166" s="239" t="s">
        <v>223</v>
      </c>
      <c r="C166" s="240" t="s">
        <v>19</v>
      </c>
      <c r="D166" s="244">
        <f>$F$161</f>
        <v>295.66575676166707</v>
      </c>
      <c r="E166" s="252">
        <f>'Custos diversos e BDI - DNIT'!$D$30/100</f>
        <v>0.11110000000000002</v>
      </c>
      <c r="F166" s="236">
        <f>D166*E166</f>
        <v>32.848465576221216</v>
      </c>
    </row>
    <row r="167" spans="1:6">
      <c r="A167" s="234"/>
      <c r="B167" s="239" t="s">
        <v>224</v>
      </c>
      <c r="C167" s="240" t="s">
        <v>19</v>
      </c>
      <c r="D167" s="244">
        <f t="shared" ref="D167:D168" si="20">$F$161</f>
        <v>295.66575676166707</v>
      </c>
      <c r="E167" s="252">
        <f>'Custos diversos e BDI - DNIT'!$D$33/100</f>
        <v>0.12</v>
      </c>
      <c r="F167" s="236">
        <f t="shared" ref="F167:F168" si="21">D167*E167</f>
        <v>35.479890811400047</v>
      </c>
    </row>
    <row r="168" spans="1:6">
      <c r="A168" s="234"/>
      <c r="B168" s="239" t="s">
        <v>225</v>
      </c>
      <c r="C168" s="240" t="s">
        <v>19</v>
      </c>
      <c r="D168" s="244">
        <f t="shared" si="20"/>
        <v>295.66575676166707</v>
      </c>
      <c r="E168" s="252">
        <f>'Custos diversos e BDI - DNIT'!$D$38/100</f>
        <v>0.2046</v>
      </c>
      <c r="F168" s="236">
        <f t="shared" si="21"/>
        <v>60.493213833437082</v>
      </c>
    </row>
    <row r="169" spans="1:6">
      <c r="A169" s="234"/>
      <c r="B169" s="239"/>
      <c r="C169" s="49"/>
      <c r="D169" s="244"/>
      <c r="E169" s="246"/>
      <c r="F169" s="236"/>
    </row>
    <row r="170" spans="1:6">
      <c r="A170" s="102" t="s">
        <v>47</v>
      </c>
      <c r="B170" s="103" t="s">
        <v>10</v>
      </c>
      <c r="C170" s="104" t="s">
        <v>46</v>
      </c>
      <c r="D170" s="105">
        <f>D162</f>
        <v>3.911111111111111</v>
      </c>
      <c r="E170" s="150">
        <f>'Custo Gerencial'!$G$48</f>
        <v>39.25</v>
      </c>
      <c r="F170" s="106">
        <f>D170*E170</f>
        <v>153.51111111111112</v>
      </c>
    </row>
    <row r="171" spans="1:6">
      <c r="A171" s="234"/>
      <c r="B171" s="239"/>
      <c r="C171" s="49"/>
      <c r="D171" s="244"/>
      <c r="E171" s="246"/>
      <c r="F171" s="236"/>
    </row>
    <row r="172" spans="1:6" ht="13.8" thickBot="1">
      <c r="A172" s="107"/>
      <c r="B172" s="247" t="s">
        <v>73</v>
      </c>
      <c r="C172" s="109" t="s">
        <v>21</v>
      </c>
      <c r="D172" s="110">
        <v>1</v>
      </c>
      <c r="E172" s="223">
        <f>F160</f>
        <v>577.99843809383651</v>
      </c>
      <c r="F172" s="112">
        <f>E172*D172</f>
        <v>577.99843809383651</v>
      </c>
    </row>
    <row r="174" spans="1:6" ht="13.8" thickBot="1"/>
    <row r="175" spans="1:6" ht="29.25" customHeight="1">
      <c r="A175" s="292" t="str">
        <f>"Produto "&amp;L15</f>
        <v>Produto 30</v>
      </c>
      <c r="B175" s="333" t="str">
        <f>VLOOKUP(A175,K:M,3,0)</f>
        <v>Elaboração/atualização de cronograma do projeto da BR-040/DF/GO/MG</v>
      </c>
      <c r="C175" s="333"/>
      <c r="D175" s="333"/>
      <c r="E175" s="333"/>
      <c r="F175" s="334"/>
    </row>
    <row r="176" spans="1:6">
      <c r="A176" s="91" t="s">
        <v>3</v>
      </c>
      <c r="B176" s="92" t="s">
        <v>5</v>
      </c>
      <c r="C176" s="92" t="s">
        <v>6</v>
      </c>
      <c r="D176" s="92" t="s">
        <v>7</v>
      </c>
      <c r="E176" s="92" t="s">
        <v>40</v>
      </c>
      <c r="F176" s="93" t="s">
        <v>41</v>
      </c>
    </row>
    <row r="177" spans="1:6">
      <c r="A177" s="297" t="str">
        <f>"valor mês "&amp;A175</f>
        <v>valor mês Produto 30</v>
      </c>
      <c r="B177" s="237" t="str">
        <f>B175</f>
        <v>Elaboração/atualização de cronograma do projeto da BR-040/DF/GO/MG</v>
      </c>
      <c r="C177" s="38"/>
      <c r="D177" s="243"/>
      <c r="E177" s="42"/>
      <c r="F177" s="29">
        <f>F178+F182+F187</f>
        <v>577.99843809383651</v>
      </c>
    </row>
    <row r="178" spans="1:6">
      <c r="A178" s="242">
        <v>1</v>
      </c>
      <c r="B178" s="237" t="s">
        <v>45</v>
      </c>
      <c r="C178" s="38"/>
      <c r="D178" s="243"/>
      <c r="E178" s="42"/>
      <c r="F178" s="238">
        <f>SUM(F179:F179)</f>
        <v>295.66575676166707</v>
      </c>
    </row>
    <row r="179" spans="1:6">
      <c r="A179" s="96"/>
      <c r="B179" s="239" t="s">
        <v>57</v>
      </c>
      <c r="C179" s="38" t="s">
        <v>46</v>
      </c>
      <c r="D179" s="251">
        <f>HLOOKUP(B179,'Estimativa de horas por produto'!$F$33:$P$85,49,0)</f>
        <v>3.911111111111111</v>
      </c>
      <c r="E179" s="148">
        <f>VLOOKUP(B179,'Custo mao de obra Dnit'!A:AB,28,0)</f>
        <v>75.596358262926245</v>
      </c>
      <c r="F179" s="236">
        <f>D179*E179</f>
        <v>295.66575676166707</v>
      </c>
    </row>
    <row r="180" spans="1:6">
      <c r="A180" s="96"/>
      <c r="B180" s="239"/>
      <c r="C180" s="38"/>
      <c r="D180" s="244"/>
      <c r="E180" s="49"/>
      <c r="F180" s="236"/>
    </row>
    <row r="181" spans="1:6">
      <c r="A181" s="234"/>
      <c r="B181" s="239"/>
      <c r="C181" s="49"/>
      <c r="D181" s="244"/>
      <c r="E181" s="252"/>
      <c r="F181" s="236"/>
    </row>
    <row r="182" spans="1:6">
      <c r="A182" s="242">
        <v>2</v>
      </c>
      <c r="B182" s="237" t="s">
        <v>201</v>
      </c>
      <c r="C182" s="245"/>
      <c r="D182" s="243"/>
      <c r="E182" s="45"/>
      <c r="F182" s="238">
        <f>SUM(F183:F185)</f>
        <v>128.82157022105832</v>
      </c>
    </row>
    <row r="183" spans="1:6">
      <c r="A183" s="234"/>
      <c r="B183" s="239" t="s">
        <v>223</v>
      </c>
      <c r="C183" s="240" t="s">
        <v>19</v>
      </c>
      <c r="D183" s="244">
        <f>$F$178</f>
        <v>295.66575676166707</v>
      </c>
      <c r="E183" s="252">
        <f>'Custos diversos e BDI - DNIT'!$D$30/100</f>
        <v>0.11110000000000002</v>
      </c>
      <c r="F183" s="236">
        <f>D183*E183</f>
        <v>32.848465576221216</v>
      </c>
    </row>
    <row r="184" spans="1:6">
      <c r="A184" s="234"/>
      <c r="B184" s="239" t="s">
        <v>224</v>
      </c>
      <c r="C184" s="240" t="s">
        <v>19</v>
      </c>
      <c r="D184" s="244">
        <f t="shared" ref="D184:D185" si="22">$F$178</f>
        <v>295.66575676166707</v>
      </c>
      <c r="E184" s="252">
        <f>'Custos diversos e BDI - DNIT'!$D$33/100</f>
        <v>0.12</v>
      </c>
      <c r="F184" s="236">
        <f t="shared" ref="F184:F185" si="23">D184*E184</f>
        <v>35.479890811400047</v>
      </c>
    </row>
    <row r="185" spans="1:6">
      <c r="A185" s="234"/>
      <c r="B185" s="239" t="s">
        <v>225</v>
      </c>
      <c r="C185" s="240" t="s">
        <v>19</v>
      </c>
      <c r="D185" s="244">
        <f t="shared" si="22"/>
        <v>295.66575676166707</v>
      </c>
      <c r="E185" s="252">
        <f>'Custos diversos e BDI - DNIT'!$D$38/100</f>
        <v>0.2046</v>
      </c>
      <c r="F185" s="236">
        <f t="shared" si="23"/>
        <v>60.493213833437082</v>
      </c>
    </row>
    <row r="186" spans="1:6">
      <c r="A186" s="234"/>
      <c r="B186" s="239"/>
      <c r="C186" s="49"/>
      <c r="D186" s="244"/>
      <c r="E186" s="246"/>
      <c r="F186" s="236"/>
    </row>
    <row r="187" spans="1:6">
      <c r="A187" s="102" t="s">
        <v>47</v>
      </c>
      <c r="B187" s="103" t="s">
        <v>10</v>
      </c>
      <c r="C187" s="104" t="s">
        <v>46</v>
      </c>
      <c r="D187" s="105">
        <f>D179</f>
        <v>3.911111111111111</v>
      </c>
      <c r="E187" s="150">
        <f>'Custo Gerencial'!$G$48</f>
        <v>39.25</v>
      </c>
      <c r="F187" s="106">
        <f>D187*E187</f>
        <v>153.51111111111112</v>
      </c>
    </row>
    <row r="188" spans="1:6">
      <c r="A188" s="234"/>
      <c r="B188" s="239"/>
      <c r="C188" s="49"/>
      <c r="D188" s="244"/>
      <c r="E188" s="246"/>
      <c r="F188" s="236"/>
    </row>
    <row r="189" spans="1:6" ht="13.8" thickBot="1">
      <c r="A189" s="107"/>
      <c r="B189" s="247" t="s">
        <v>73</v>
      </c>
      <c r="C189" s="109" t="s">
        <v>21</v>
      </c>
      <c r="D189" s="110">
        <v>1</v>
      </c>
      <c r="E189" s="223">
        <f>F177</f>
        <v>577.99843809383651</v>
      </c>
      <c r="F189" s="112">
        <f>E189*D189</f>
        <v>577.99843809383651</v>
      </c>
    </row>
    <row r="191" spans="1:6" ht="13.8" thickBot="1"/>
    <row r="192" spans="1:6" ht="29.25" customHeight="1">
      <c r="A192" s="292" t="str">
        <f>"Produto "&amp;L16</f>
        <v>Produto 31</v>
      </c>
      <c r="B192" s="333" t="str">
        <f>VLOOKUP(A192,K:M,3,0)</f>
        <v>Elaboração/atualização de cronograma do projeto da BR-158/155/MT/PA</v>
      </c>
      <c r="C192" s="333"/>
      <c r="D192" s="333"/>
      <c r="E192" s="333"/>
      <c r="F192" s="334"/>
    </row>
    <row r="193" spans="1:6">
      <c r="A193" s="91" t="s">
        <v>3</v>
      </c>
      <c r="B193" s="92" t="s">
        <v>5</v>
      </c>
      <c r="C193" s="92" t="s">
        <v>6</v>
      </c>
      <c r="D193" s="92" t="s">
        <v>7</v>
      </c>
      <c r="E193" s="92" t="s">
        <v>40</v>
      </c>
      <c r="F193" s="93" t="s">
        <v>41</v>
      </c>
    </row>
    <row r="194" spans="1:6">
      <c r="A194" s="297" t="str">
        <f>"valor mês "&amp;A192</f>
        <v>valor mês Produto 31</v>
      </c>
      <c r="B194" s="237" t="str">
        <f>B192</f>
        <v>Elaboração/atualização de cronograma do projeto da BR-158/155/MT/PA</v>
      </c>
      <c r="C194" s="38"/>
      <c r="D194" s="243"/>
      <c r="E194" s="42"/>
      <c r="F194" s="29">
        <f>F195+F199+F204</f>
        <v>577.99843809383651</v>
      </c>
    </row>
    <row r="195" spans="1:6">
      <c r="A195" s="242">
        <v>1</v>
      </c>
      <c r="B195" s="237" t="s">
        <v>45</v>
      </c>
      <c r="C195" s="38"/>
      <c r="D195" s="243"/>
      <c r="E195" s="42"/>
      <c r="F195" s="238">
        <f>SUM(F196:F196)</f>
        <v>295.66575676166707</v>
      </c>
    </row>
    <row r="196" spans="1:6">
      <c r="A196" s="96"/>
      <c r="B196" s="239" t="s">
        <v>57</v>
      </c>
      <c r="C196" s="38" t="s">
        <v>46</v>
      </c>
      <c r="D196" s="251">
        <f>HLOOKUP(B196,'Estimativa de horas por produto'!$F$33:$P$85,50,0)</f>
        <v>3.911111111111111</v>
      </c>
      <c r="E196" s="148">
        <f>VLOOKUP(B196,'Custo mao de obra Dnit'!A:AB,28,0)</f>
        <v>75.596358262926245</v>
      </c>
      <c r="F196" s="236">
        <f>D196*E196</f>
        <v>295.66575676166707</v>
      </c>
    </row>
    <row r="197" spans="1:6">
      <c r="A197" s="96"/>
      <c r="B197" s="239"/>
      <c r="C197" s="38"/>
      <c r="D197" s="244"/>
      <c r="E197" s="49"/>
      <c r="F197" s="236"/>
    </row>
    <row r="198" spans="1:6">
      <c r="A198" s="234"/>
      <c r="B198" s="239"/>
      <c r="C198" s="49"/>
      <c r="D198" s="244"/>
      <c r="E198" s="252"/>
      <c r="F198" s="236"/>
    </row>
    <row r="199" spans="1:6">
      <c r="A199" s="242">
        <v>2</v>
      </c>
      <c r="B199" s="237" t="s">
        <v>201</v>
      </c>
      <c r="C199" s="245"/>
      <c r="D199" s="243"/>
      <c r="E199" s="45"/>
      <c r="F199" s="238">
        <f>SUM(F200:F202)</f>
        <v>128.82157022105832</v>
      </c>
    </row>
    <row r="200" spans="1:6">
      <c r="A200" s="234"/>
      <c r="B200" s="239" t="s">
        <v>223</v>
      </c>
      <c r="C200" s="240" t="s">
        <v>19</v>
      </c>
      <c r="D200" s="244">
        <f>$F$195</f>
        <v>295.66575676166707</v>
      </c>
      <c r="E200" s="252">
        <f>'Custos diversos e BDI - DNIT'!$D$30/100</f>
        <v>0.11110000000000002</v>
      </c>
      <c r="F200" s="236">
        <f>D200*E200</f>
        <v>32.848465576221216</v>
      </c>
    </row>
    <row r="201" spans="1:6">
      <c r="A201" s="234"/>
      <c r="B201" s="239" t="s">
        <v>224</v>
      </c>
      <c r="C201" s="240" t="s">
        <v>19</v>
      </c>
      <c r="D201" s="244">
        <f t="shared" ref="D201:D202" si="24">$F$195</f>
        <v>295.66575676166707</v>
      </c>
      <c r="E201" s="252">
        <f>'Custos diversos e BDI - DNIT'!$D$33/100</f>
        <v>0.12</v>
      </c>
      <c r="F201" s="236">
        <f t="shared" ref="F201:F202" si="25">D201*E201</f>
        <v>35.479890811400047</v>
      </c>
    </row>
    <row r="202" spans="1:6">
      <c r="A202" s="234"/>
      <c r="B202" s="239" t="s">
        <v>225</v>
      </c>
      <c r="C202" s="240" t="s">
        <v>19</v>
      </c>
      <c r="D202" s="244">
        <f t="shared" si="24"/>
        <v>295.66575676166707</v>
      </c>
      <c r="E202" s="252">
        <f>'Custos diversos e BDI - DNIT'!$D$38/100</f>
        <v>0.2046</v>
      </c>
      <c r="F202" s="236">
        <f t="shared" si="25"/>
        <v>60.493213833437082</v>
      </c>
    </row>
    <row r="203" spans="1:6">
      <c r="A203" s="234"/>
      <c r="B203" s="239"/>
      <c r="C203" s="49"/>
      <c r="D203" s="244"/>
      <c r="E203" s="246"/>
      <c r="F203" s="236"/>
    </row>
    <row r="204" spans="1:6">
      <c r="A204" s="102" t="s">
        <v>47</v>
      </c>
      <c r="B204" s="103" t="s">
        <v>10</v>
      </c>
      <c r="C204" s="104" t="s">
        <v>46</v>
      </c>
      <c r="D204" s="105">
        <f>D196</f>
        <v>3.911111111111111</v>
      </c>
      <c r="E204" s="150">
        <f>'Custo Gerencial'!$G$48</f>
        <v>39.25</v>
      </c>
      <c r="F204" s="106">
        <f>D204*E204</f>
        <v>153.51111111111112</v>
      </c>
    </row>
    <row r="205" spans="1:6">
      <c r="A205" s="234"/>
      <c r="B205" s="239"/>
      <c r="C205" s="49"/>
      <c r="D205" s="244"/>
      <c r="E205" s="246"/>
      <c r="F205" s="236"/>
    </row>
    <row r="206" spans="1:6" ht="13.8" thickBot="1">
      <c r="A206" s="107"/>
      <c r="B206" s="247" t="s">
        <v>73</v>
      </c>
      <c r="C206" s="109" t="s">
        <v>21</v>
      </c>
      <c r="D206" s="110">
        <v>1</v>
      </c>
      <c r="E206" s="223">
        <f>F194</f>
        <v>577.99843809383651</v>
      </c>
      <c r="F206" s="112">
        <f>E206*D206</f>
        <v>577.99843809383651</v>
      </c>
    </row>
    <row r="208" spans="1:6" ht="13.8" thickBot="1"/>
    <row r="209" spans="1:6" ht="29.25" customHeight="1">
      <c r="A209" s="292" t="str">
        <f>"Produto "&amp;L17</f>
        <v>Produto 32</v>
      </c>
      <c r="B209" s="333" t="str">
        <f>VLOOKUP(A209,K:M,3,0)</f>
        <v>Elaboração/atualização de cronograma do projeto da BR-135/316/MA</v>
      </c>
      <c r="C209" s="333"/>
      <c r="D209" s="333"/>
      <c r="E209" s="333"/>
      <c r="F209" s="334"/>
    </row>
    <row r="210" spans="1:6">
      <c r="A210" s="91" t="s">
        <v>3</v>
      </c>
      <c r="B210" s="92" t="s">
        <v>5</v>
      </c>
      <c r="C210" s="92" t="s">
        <v>6</v>
      </c>
      <c r="D210" s="92" t="s">
        <v>7</v>
      </c>
      <c r="E210" s="92" t="s">
        <v>40</v>
      </c>
      <c r="F210" s="93" t="s">
        <v>41</v>
      </c>
    </row>
    <row r="211" spans="1:6">
      <c r="A211" s="297" t="str">
        <f>"valor mês "&amp;A209</f>
        <v>valor mês Produto 32</v>
      </c>
      <c r="B211" s="237" t="str">
        <f>B209</f>
        <v>Elaboração/atualização de cronograma do projeto da BR-135/316/MA</v>
      </c>
      <c r="C211" s="38"/>
      <c r="D211" s="243"/>
      <c r="E211" s="42"/>
      <c r="F211" s="29">
        <f>F212+F216+F221</f>
        <v>577.99843809383651</v>
      </c>
    </row>
    <row r="212" spans="1:6">
      <c r="A212" s="242">
        <v>1</v>
      </c>
      <c r="B212" s="237" t="s">
        <v>45</v>
      </c>
      <c r="C212" s="38"/>
      <c r="D212" s="243"/>
      <c r="E212" s="42"/>
      <c r="F212" s="238">
        <f>SUM(F213:F213)</f>
        <v>295.66575676166707</v>
      </c>
    </row>
    <row r="213" spans="1:6">
      <c r="A213" s="96"/>
      <c r="B213" s="239" t="s">
        <v>57</v>
      </c>
      <c r="C213" s="38" t="s">
        <v>46</v>
      </c>
      <c r="D213" s="251">
        <f>HLOOKUP(B213,'Estimativa de horas por produto'!$F$33:$P$85,51,0)</f>
        <v>3.911111111111111</v>
      </c>
      <c r="E213" s="148">
        <f>VLOOKUP(B213,'Custo mao de obra Dnit'!A:AB,28,0)</f>
        <v>75.596358262926245</v>
      </c>
      <c r="F213" s="236">
        <f>D213*E213</f>
        <v>295.66575676166707</v>
      </c>
    </row>
    <row r="214" spans="1:6">
      <c r="A214" s="96"/>
      <c r="B214" s="239"/>
      <c r="C214" s="38"/>
      <c r="D214" s="244"/>
      <c r="E214" s="49"/>
      <c r="F214" s="236"/>
    </row>
    <row r="215" spans="1:6">
      <c r="A215" s="234"/>
      <c r="B215" s="239"/>
      <c r="C215" s="49"/>
      <c r="D215" s="244"/>
      <c r="E215" s="252"/>
      <c r="F215" s="236"/>
    </row>
    <row r="216" spans="1:6">
      <c r="A216" s="242">
        <v>2</v>
      </c>
      <c r="B216" s="237" t="s">
        <v>201</v>
      </c>
      <c r="C216" s="245"/>
      <c r="D216" s="243"/>
      <c r="E216" s="45"/>
      <c r="F216" s="238">
        <f>SUM(F217:F219)</f>
        <v>128.82157022105832</v>
      </c>
    </row>
    <row r="217" spans="1:6">
      <c r="A217" s="234"/>
      <c r="B217" s="239" t="s">
        <v>223</v>
      </c>
      <c r="C217" s="240" t="s">
        <v>19</v>
      </c>
      <c r="D217" s="244">
        <f>$F$212</f>
        <v>295.66575676166707</v>
      </c>
      <c r="E217" s="252">
        <f>'Custos diversos e BDI - DNIT'!$D$30/100</f>
        <v>0.11110000000000002</v>
      </c>
      <c r="F217" s="236">
        <f>D217*E217</f>
        <v>32.848465576221216</v>
      </c>
    </row>
    <row r="218" spans="1:6">
      <c r="A218" s="234"/>
      <c r="B218" s="239" t="s">
        <v>224</v>
      </c>
      <c r="C218" s="240" t="s">
        <v>19</v>
      </c>
      <c r="D218" s="244">
        <f t="shared" ref="D218:D219" si="26">$F$212</f>
        <v>295.66575676166707</v>
      </c>
      <c r="E218" s="252">
        <f>'Custos diversos e BDI - DNIT'!$D$33/100</f>
        <v>0.12</v>
      </c>
      <c r="F218" s="236">
        <f t="shared" ref="F218:F219" si="27">D218*E218</f>
        <v>35.479890811400047</v>
      </c>
    </row>
    <row r="219" spans="1:6">
      <c r="A219" s="234"/>
      <c r="B219" s="239" t="s">
        <v>225</v>
      </c>
      <c r="C219" s="240" t="s">
        <v>19</v>
      </c>
      <c r="D219" s="244">
        <f t="shared" si="26"/>
        <v>295.66575676166707</v>
      </c>
      <c r="E219" s="252">
        <f>'Custos diversos e BDI - DNIT'!$D$38/100</f>
        <v>0.2046</v>
      </c>
      <c r="F219" s="236">
        <f t="shared" si="27"/>
        <v>60.493213833437082</v>
      </c>
    </row>
    <row r="220" spans="1:6">
      <c r="A220" s="234"/>
      <c r="B220" s="239"/>
      <c r="C220" s="49"/>
      <c r="D220" s="244"/>
      <c r="E220" s="246"/>
      <c r="F220" s="236"/>
    </row>
    <row r="221" spans="1:6">
      <c r="A221" s="102" t="s">
        <v>47</v>
      </c>
      <c r="B221" s="103" t="s">
        <v>10</v>
      </c>
      <c r="C221" s="104" t="s">
        <v>46</v>
      </c>
      <c r="D221" s="105">
        <f>D213</f>
        <v>3.911111111111111</v>
      </c>
      <c r="E221" s="150">
        <f>'Custo Gerencial'!$G$48</f>
        <v>39.25</v>
      </c>
      <c r="F221" s="106">
        <f>D221*E221</f>
        <v>153.51111111111112</v>
      </c>
    </row>
    <row r="222" spans="1:6">
      <c r="A222" s="234"/>
      <c r="B222" s="239"/>
      <c r="C222" s="49"/>
      <c r="D222" s="244"/>
      <c r="E222" s="246"/>
      <c r="F222" s="236"/>
    </row>
    <row r="223" spans="1:6" ht="13.8" thickBot="1">
      <c r="A223" s="107"/>
      <c r="B223" s="247" t="s">
        <v>73</v>
      </c>
      <c r="C223" s="109" t="s">
        <v>21</v>
      </c>
      <c r="D223" s="110">
        <v>1</v>
      </c>
      <c r="E223" s="223">
        <f>F211</f>
        <v>577.99843809383651</v>
      </c>
      <c r="F223" s="112">
        <f>E223*D223</f>
        <v>577.99843809383651</v>
      </c>
    </row>
    <row r="225" spans="1:6" ht="13.8" thickBot="1"/>
    <row r="226" spans="1:6" ht="29.25" customHeight="1">
      <c r="A226" s="292" t="str">
        <f>"Produto "&amp;L18</f>
        <v>Produto 33</v>
      </c>
      <c r="B226" s="333" t="str">
        <f>VLOOKUP(A226,K:M,3,0)</f>
        <v>Elaboração/atualização de cronograma do projeto da Prorrogação Antecipada FCA</v>
      </c>
      <c r="C226" s="333"/>
      <c r="D226" s="333"/>
      <c r="E226" s="333"/>
      <c r="F226" s="334"/>
    </row>
    <row r="227" spans="1:6">
      <c r="A227" s="91" t="s">
        <v>3</v>
      </c>
      <c r="B227" s="92" t="s">
        <v>5</v>
      </c>
      <c r="C227" s="92" t="s">
        <v>6</v>
      </c>
      <c r="D227" s="92" t="s">
        <v>7</v>
      </c>
      <c r="E227" s="92" t="s">
        <v>40</v>
      </c>
      <c r="F227" s="93" t="s">
        <v>41</v>
      </c>
    </row>
    <row r="228" spans="1:6">
      <c r="A228" s="297" t="str">
        <f>"valor mês "&amp;A226</f>
        <v>valor mês Produto 33</v>
      </c>
      <c r="B228" s="237" t="str">
        <f>B226</f>
        <v>Elaboração/atualização de cronograma do projeto da Prorrogação Antecipada FCA</v>
      </c>
      <c r="C228" s="38"/>
      <c r="D228" s="243"/>
      <c r="E228" s="42"/>
      <c r="F228" s="29">
        <f>F229+F233+F238</f>
        <v>577.99843809383651</v>
      </c>
    </row>
    <row r="229" spans="1:6">
      <c r="A229" s="242">
        <v>1</v>
      </c>
      <c r="B229" s="237" t="s">
        <v>45</v>
      </c>
      <c r="C229" s="38"/>
      <c r="D229" s="243"/>
      <c r="E229" s="42"/>
      <c r="F229" s="238">
        <f>SUM(F230:F230)</f>
        <v>295.66575676166707</v>
      </c>
    </row>
    <row r="230" spans="1:6">
      <c r="A230" s="96"/>
      <c r="B230" s="239" t="s">
        <v>57</v>
      </c>
      <c r="C230" s="38" t="s">
        <v>46</v>
      </c>
      <c r="D230" s="251">
        <f>HLOOKUP(B230,'Estimativa de horas por produto'!$F$33:$P$85,52,0)</f>
        <v>3.911111111111111</v>
      </c>
      <c r="E230" s="148">
        <f>VLOOKUP(B230,'Custo mao de obra Dnit'!A:AB,28,0)</f>
        <v>75.596358262926245</v>
      </c>
      <c r="F230" s="236">
        <f>D230*E230</f>
        <v>295.66575676166707</v>
      </c>
    </row>
    <row r="231" spans="1:6">
      <c r="A231" s="96"/>
      <c r="B231" s="239"/>
      <c r="C231" s="38"/>
      <c r="D231" s="244"/>
      <c r="E231" s="49"/>
      <c r="F231" s="236"/>
    </row>
    <row r="232" spans="1:6">
      <c r="A232" s="234"/>
      <c r="B232" s="239"/>
      <c r="C232" s="49"/>
      <c r="D232" s="244"/>
      <c r="E232" s="252"/>
      <c r="F232" s="236"/>
    </row>
    <row r="233" spans="1:6">
      <c r="A233" s="242">
        <v>2</v>
      </c>
      <c r="B233" s="237" t="s">
        <v>201</v>
      </c>
      <c r="C233" s="245"/>
      <c r="D233" s="243"/>
      <c r="E233" s="45"/>
      <c r="F233" s="238">
        <f>SUM(F234:F236)</f>
        <v>128.82157022105832</v>
      </c>
    </row>
    <row r="234" spans="1:6">
      <c r="A234" s="234"/>
      <c r="B234" s="239" t="s">
        <v>223</v>
      </c>
      <c r="C234" s="240" t="s">
        <v>19</v>
      </c>
      <c r="D234" s="244">
        <f>$F$229</f>
        <v>295.66575676166707</v>
      </c>
      <c r="E234" s="252">
        <f>'Custos diversos e BDI - DNIT'!$D$30/100</f>
        <v>0.11110000000000002</v>
      </c>
      <c r="F234" s="236">
        <f>D234*E234</f>
        <v>32.848465576221216</v>
      </c>
    </row>
    <row r="235" spans="1:6">
      <c r="A235" s="234"/>
      <c r="B235" s="239" t="s">
        <v>224</v>
      </c>
      <c r="C235" s="240" t="s">
        <v>19</v>
      </c>
      <c r="D235" s="244">
        <f t="shared" ref="D235:D236" si="28">$F$229</f>
        <v>295.66575676166707</v>
      </c>
      <c r="E235" s="252">
        <f>'Custos diversos e BDI - DNIT'!$D$33/100</f>
        <v>0.12</v>
      </c>
      <c r="F235" s="236">
        <f t="shared" ref="F235:F236" si="29">D235*E235</f>
        <v>35.479890811400047</v>
      </c>
    </row>
    <row r="236" spans="1:6">
      <c r="A236" s="234"/>
      <c r="B236" s="239" t="s">
        <v>225</v>
      </c>
      <c r="C236" s="240" t="s">
        <v>19</v>
      </c>
      <c r="D236" s="244">
        <f t="shared" si="28"/>
        <v>295.66575676166707</v>
      </c>
      <c r="E236" s="252">
        <f>'Custos diversos e BDI - DNIT'!$D$38/100</f>
        <v>0.2046</v>
      </c>
      <c r="F236" s="236">
        <f t="shared" si="29"/>
        <v>60.493213833437082</v>
      </c>
    </row>
    <row r="237" spans="1:6">
      <c r="A237" s="234"/>
      <c r="B237" s="239"/>
      <c r="C237" s="49"/>
      <c r="D237" s="244"/>
      <c r="E237" s="246"/>
      <c r="F237" s="236"/>
    </row>
    <row r="238" spans="1:6">
      <c r="A238" s="102" t="s">
        <v>47</v>
      </c>
      <c r="B238" s="103" t="s">
        <v>10</v>
      </c>
      <c r="C238" s="104" t="s">
        <v>46</v>
      </c>
      <c r="D238" s="105">
        <f>D230</f>
        <v>3.911111111111111</v>
      </c>
      <c r="E238" s="150">
        <f>'Custo Gerencial'!$G$48</f>
        <v>39.25</v>
      </c>
      <c r="F238" s="106">
        <f>D238*E238</f>
        <v>153.51111111111112</v>
      </c>
    </row>
    <row r="239" spans="1:6">
      <c r="A239" s="234"/>
      <c r="B239" s="239"/>
      <c r="C239" s="49"/>
      <c r="D239" s="244"/>
      <c r="E239" s="246"/>
      <c r="F239" s="236"/>
    </row>
    <row r="240" spans="1:6" ht="13.8" thickBot="1">
      <c r="A240" s="107"/>
      <c r="B240" s="247" t="s">
        <v>73</v>
      </c>
      <c r="C240" s="109" t="s">
        <v>21</v>
      </c>
      <c r="D240" s="110">
        <v>1</v>
      </c>
      <c r="E240" s="223">
        <f>F228</f>
        <v>577.99843809383651</v>
      </c>
      <c r="F240" s="112">
        <f>E240*D240</f>
        <v>577.99843809383651</v>
      </c>
    </row>
    <row r="242" spans="1:6" ht="13.8" thickBot="1"/>
    <row r="243" spans="1:6" ht="29.25" customHeight="1">
      <c r="A243" s="292" t="str">
        <f>"Produto "&amp;L19</f>
        <v>Produto 34</v>
      </c>
      <c r="B243" s="333" t="str">
        <f>VLOOKUP(A243,K:M,3,0)</f>
        <v>Elaboração/atualização de cronograma do projeto da Prorrogação Antecipada MRS</v>
      </c>
      <c r="C243" s="333"/>
      <c r="D243" s="333"/>
      <c r="E243" s="333"/>
      <c r="F243" s="334"/>
    </row>
    <row r="244" spans="1:6">
      <c r="A244" s="91" t="s">
        <v>3</v>
      </c>
      <c r="B244" s="92" t="s">
        <v>5</v>
      </c>
      <c r="C244" s="92" t="s">
        <v>6</v>
      </c>
      <c r="D244" s="92" t="s">
        <v>7</v>
      </c>
      <c r="E244" s="92" t="s">
        <v>40</v>
      </c>
      <c r="F244" s="93" t="s">
        <v>41</v>
      </c>
    </row>
    <row r="245" spans="1:6">
      <c r="A245" s="297" t="str">
        <f>"valor mês "&amp;A243</f>
        <v>valor mês Produto 34</v>
      </c>
      <c r="B245" s="237" t="str">
        <f>B243</f>
        <v>Elaboração/atualização de cronograma do projeto da Prorrogação Antecipada MRS</v>
      </c>
      <c r="C245" s="38"/>
      <c r="D245" s="243"/>
      <c r="E245" s="42"/>
      <c r="F245" s="29">
        <f>F246+F250+F255</f>
        <v>577.99843809383651</v>
      </c>
    </row>
    <row r="246" spans="1:6">
      <c r="A246" s="242">
        <v>1</v>
      </c>
      <c r="B246" s="237" t="s">
        <v>45</v>
      </c>
      <c r="C246" s="38"/>
      <c r="D246" s="243"/>
      <c r="E246" s="42"/>
      <c r="F246" s="238">
        <f>SUM(F247:F247)</f>
        <v>295.66575676166707</v>
      </c>
    </row>
    <row r="247" spans="1:6">
      <c r="A247" s="96"/>
      <c r="B247" s="239" t="s">
        <v>57</v>
      </c>
      <c r="C247" s="38" t="s">
        <v>46</v>
      </c>
      <c r="D247" s="251">
        <f>HLOOKUP(B247,'Estimativa de horas por produto'!$F$33:$P$85,53,0)</f>
        <v>3.911111111111111</v>
      </c>
      <c r="E247" s="148">
        <f>VLOOKUP(B247,'Custo mao de obra Dnit'!A:AB,28,0)</f>
        <v>75.596358262926245</v>
      </c>
      <c r="F247" s="236">
        <f>D247*E247</f>
        <v>295.66575676166707</v>
      </c>
    </row>
    <row r="248" spans="1:6">
      <c r="A248" s="96"/>
      <c r="B248" s="239"/>
      <c r="C248" s="38"/>
      <c r="D248" s="244"/>
      <c r="E248" s="49"/>
      <c r="F248" s="236"/>
    </row>
    <row r="249" spans="1:6">
      <c r="A249" s="234"/>
      <c r="B249" s="239"/>
      <c r="C249" s="49"/>
      <c r="D249" s="244"/>
      <c r="E249" s="252"/>
      <c r="F249" s="236"/>
    </row>
    <row r="250" spans="1:6">
      <c r="A250" s="242">
        <v>2</v>
      </c>
      <c r="B250" s="237" t="s">
        <v>201</v>
      </c>
      <c r="C250" s="245"/>
      <c r="D250" s="243"/>
      <c r="E250" s="45"/>
      <c r="F250" s="238">
        <f>SUM(F251:F253)</f>
        <v>128.82157022105832</v>
      </c>
    </row>
    <row r="251" spans="1:6">
      <c r="A251" s="234"/>
      <c r="B251" s="239" t="s">
        <v>223</v>
      </c>
      <c r="C251" s="240" t="s">
        <v>19</v>
      </c>
      <c r="D251" s="244">
        <f>$F$246</f>
        <v>295.66575676166707</v>
      </c>
      <c r="E251" s="252">
        <f>'Custos diversos e BDI - DNIT'!$D$30/100</f>
        <v>0.11110000000000002</v>
      </c>
      <c r="F251" s="236">
        <f>D251*E251</f>
        <v>32.848465576221216</v>
      </c>
    </row>
    <row r="252" spans="1:6">
      <c r="A252" s="234"/>
      <c r="B252" s="239" t="s">
        <v>224</v>
      </c>
      <c r="C252" s="240" t="s">
        <v>19</v>
      </c>
      <c r="D252" s="244">
        <f t="shared" ref="D252:D253" si="30">$F$246</f>
        <v>295.66575676166707</v>
      </c>
      <c r="E252" s="252">
        <f>'Custos diversos e BDI - DNIT'!$D$33/100</f>
        <v>0.12</v>
      </c>
      <c r="F252" s="236">
        <f t="shared" ref="F252:F253" si="31">D252*E252</f>
        <v>35.479890811400047</v>
      </c>
    </row>
    <row r="253" spans="1:6">
      <c r="A253" s="234"/>
      <c r="B253" s="239" t="s">
        <v>225</v>
      </c>
      <c r="C253" s="240" t="s">
        <v>19</v>
      </c>
      <c r="D253" s="244">
        <f t="shared" si="30"/>
        <v>295.66575676166707</v>
      </c>
      <c r="E253" s="252">
        <f>'Custos diversos e BDI - DNIT'!$D$38/100</f>
        <v>0.2046</v>
      </c>
      <c r="F253" s="236">
        <f t="shared" si="31"/>
        <v>60.493213833437082</v>
      </c>
    </row>
    <row r="254" spans="1:6">
      <c r="A254" s="234"/>
      <c r="B254" s="239"/>
      <c r="C254" s="49"/>
      <c r="D254" s="244"/>
      <c r="E254" s="246"/>
      <c r="F254" s="236"/>
    </row>
    <row r="255" spans="1:6">
      <c r="A255" s="102" t="s">
        <v>47</v>
      </c>
      <c r="B255" s="103" t="s">
        <v>10</v>
      </c>
      <c r="C255" s="104" t="s">
        <v>46</v>
      </c>
      <c r="D255" s="105">
        <f>D247</f>
        <v>3.911111111111111</v>
      </c>
      <c r="E255" s="150">
        <f>'Custo Gerencial'!$G$48</f>
        <v>39.25</v>
      </c>
      <c r="F255" s="106">
        <f>D255*E255</f>
        <v>153.51111111111112</v>
      </c>
    </row>
    <row r="256" spans="1:6">
      <c r="A256" s="234"/>
      <c r="B256" s="239"/>
      <c r="C256" s="49"/>
      <c r="D256" s="244"/>
      <c r="E256" s="246"/>
      <c r="F256" s="236"/>
    </row>
    <row r="257" spans="1:6" ht="13.8" thickBot="1">
      <c r="A257" s="107"/>
      <c r="B257" s="247" t="s">
        <v>73</v>
      </c>
      <c r="C257" s="109" t="s">
        <v>21</v>
      </c>
      <c r="D257" s="110">
        <v>1</v>
      </c>
      <c r="E257" s="223">
        <f>F245</f>
        <v>577.99843809383651</v>
      </c>
      <c r="F257" s="112">
        <f>E257*D257</f>
        <v>577.99843809383651</v>
      </c>
    </row>
  </sheetData>
  <sheetProtection algorithmName="SHA-512" hashValue="CiWx513FWROUjN0sK+34kiESlO8d0hEshkv6L74ZX1PUkNqdED4SP5Zz7SwboKkoe7YKiVkpIEVvOpc919KZNg==" saltValue="aJYywqW94yxhOySGBdnBrw==" spinCount="100000" sheet="1" objects="1" scenarios="1"/>
  <mergeCells count="17">
    <mergeCell ref="B107:F107"/>
    <mergeCell ref="B5:F5"/>
    <mergeCell ref="A1:B1"/>
    <mergeCell ref="C1:E1"/>
    <mergeCell ref="B22:F22"/>
    <mergeCell ref="B39:F39"/>
    <mergeCell ref="B56:F56"/>
    <mergeCell ref="B73:F73"/>
    <mergeCell ref="B90:F90"/>
    <mergeCell ref="B226:F226"/>
    <mergeCell ref="B243:F243"/>
    <mergeCell ref="B124:F124"/>
    <mergeCell ref="B141:F141"/>
    <mergeCell ref="B158:F158"/>
    <mergeCell ref="B175:F175"/>
    <mergeCell ref="B192:F192"/>
    <mergeCell ref="B209:F209"/>
  </mergeCells>
  <printOptions horizontalCentered="1"/>
  <pageMargins left="0.39370078740157483" right="0.39370078740157483" top="1.1811023622047245" bottom="0.59055118110236227" header="0.39370078740157483" footer="0.39370078740157483"/>
  <pageSetup paperSize="9" scale="50" firstPageNumber="0" fitToHeight="0" orientation="portrait" r:id="rId1"/>
  <headerFooter alignWithMargins="0">
    <oddHeader>&amp;L&amp;G</oddHeader>
    <oddFooter>&amp;A</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K104"/>
  <sheetViews>
    <sheetView showGridLines="0" zoomScale="85" zoomScaleNormal="85" zoomScaleSheetLayoutView="85" zoomScalePageLayoutView="85" workbookViewId="0">
      <pane ySplit="1" topLeftCell="A2" activePane="bottomLeft" state="frozen"/>
      <selection activeCell="Q146" sqref="Q146"/>
      <selection pane="bottomLeft" activeCell="B15" sqref="B15"/>
    </sheetView>
  </sheetViews>
  <sheetFormatPr defaultColWidth="8.6640625" defaultRowHeight="13.2"/>
  <cols>
    <col min="1" max="1" width="12.44140625" style="70" customWidth="1"/>
    <col min="2" max="2" width="72.5546875" style="70" customWidth="1"/>
    <col min="3" max="3" width="12.6640625" style="70" customWidth="1"/>
    <col min="4" max="4" width="13.5546875" style="86" customWidth="1"/>
    <col min="5" max="5" width="14.44140625" style="86" customWidth="1"/>
    <col min="6" max="6" width="15.109375" style="86" customWidth="1"/>
    <col min="7" max="7" width="13.109375" style="86" bestFit="1" customWidth="1"/>
    <col min="8" max="8" width="14.6640625" style="86" customWidth="1"/>
    <col min="9" max="9" width="13.33203125" style="86" customWidth="1"/>
    <col min="10" max="10" width="18.5546875" style="86" customWidth="1"/>
    <col min="11" max="12" width="8.6640625" style="86" customWidth="1"/>
    <col min="13" max="218" width="8.6640625" style="86"/>
    <col min="219" max="219" width="12.6640625" style="86" customWidth="1"/>
    <col min="220" max="220" width="60.33203125" style="86" customWidth="1"/>
    <col min="221" max="222" width="12.6640625" style="86" customWidth="1"/>
    <col min="223" max="223" width="12.33203125" style="86" bestFit="1" customWidth="1"/>
    <col min="224" max="224" width="15.6640625" style="86" customWidth="1"/>
    <col min="225" max="225" width="17.6640625" style="86" bestFit="1" customWidth="1"/>
    <col min="226" max="226" width="8.6640625" style="86"/>
    <col min="227" max="227" width="18" style="86" bestFit="1" customWidth="1"/>
    <col min="228" max="229" width="8.6640625" style="86"/>
    <col min="230" max="230" width="21.6640625" style="86" customWidth="1"/>
    <col min="231" max="231" width="9.44140625" style="86" bestFit="1" customWidth="1"/>
    <col min="232" max="474" width="8.6640625" style="86"/>
    <col min="475" max="475" width="12.6640625" style="86" customWidth="1"/>
    <col min="476" max="476" width="60.33203125" style="86" customWidth="1"/>
    <col min="477" max="478" width="12.6640625" style="86" customWidth="1"/>
    <col min="479" max="479" width="12.33203125" style="86" bestFit="1" customWidth="1"/>
    <col min="480" max="480" width="15.6640625" style="86" customWidth="1"/>
    <col min="481" max="481" width="17.6640625" style="86" bestFit="1" customWidth="1"/>
    <col min="482" max="482" width="8.6640625" style="86"/>
    <col min="483" max="483" width="18" style="86" bestFit="1" customWidth="1"/>
    <col min="484" max="485" width="8.6640625" style="86"/>
    <col min="486" max="486" width="21.6640625" style="86" customWidth="1"/>
    <col min="487" max="487" width="9.44140625" style="86" bestFit="1" customWidth="1"/>
    <col min="488" max="730" width="8.6640625" style="86"/>
    <col min="731" max="731" width="12.6640625" style="86" customWidth="1"/>
    <col min="732" max="732" width="60.33203125" style="86" customWidth="1"/>
    <col min="733" max="734" width="12.6640625" style="86" customWidth="1"/>
    <col min="735" max="735" width="12.33203125" style="86" bestFit="1" customWidth="1"/>
    <col min="736" max="736" width="15.6640625" style="86" customWidth="1"/>
    <col min="737" max="737" width="17.6640625" style="86" bestFit="1" customWidth="1"/>
    <col min="738" max="738" width="8.6640625" style="86"/>
    <col min="739" max="739" width="18" style="86" bestFit="1" customWidth="1"/>
    <col min="740" max="741" width="8.6640625" style="86"/>
    <col min="742" max="742" width="21.6640625" style="86" customWidth="1"/>
    <col min="743" max="743" width="9.44140625" style="86" bestFit="1" customWidth="1"/>
    <col min="744" max="986" width="8.6640625" style="86"/>
    <col min="987" max="987" width="12.6640625" style="86" customWidth="1"/>
    <col min="988" max="988" width="60.33203125" style="86" customWidth="1"/>
    <col min="989" max="990" width="12.6640625" style="86" customWidth="1"/>
    <col min="991" max="991" width="12.33203125" style="86" bestFit="1" customWidth="1"/>
    <col min="992" max="992" width="15.6640625" style="86" customWidth="1"/>
    <col min="993" max="993" width="17.6640625" style="86" bestFit="1" customWidth="1"/>
    <col min="994" max="994" width="8.6640625" style="86"/>
    <col min="995" max="995" width="18" style="86" bestFit="1" customWidth="1"/>
    <col min="996" max="997" width="8.6640625" style="86"/>
    <col min="998" max="998" width="21.6640625" style="86" customWidth="1"/>
    <col min="999" max="999" width="9.44140625" style="86" bestFit="1" customWidth="1"/>
    <col min="1000" max="1242" width="8.6640625" style="86"/>
    <col min="1243" max="1243" width="12.6640625" style="86" customWidth="1"/>
    <col min="1244" max="1244" width="60.33203125" style="86" customWidth="1"/>
    <col min="1245" max="1246" width="12.6640625" style="86" customWidth="1"/>
    <col min="1247" max="1247" width="12.33203125" style="86" bestFit="1" customWidth="1"/>
    <col min="1248" max="1248" width="15.6640625" style="86" customWidth="1"/>
    <col min="1249" max="1249" width="17.6640625" style="86" bestFit="1" customWidth="1"/>
    <col min="1250" max="1250" width="8.6640625" style="86"/>
    <col min="1251" max="1251" width="18" style="86" bestFit="1" customWidth="1"/>
    <col min="1252" max="1253" width="8.6640625" style="86"/>
    <col min="1254" max="1254" width="21.6640625" style="86" customWidth="1"/>
    <col min="1255" max="1255" width="9.44140625" style="86" bestFit="1" customWidth="1"/>
    <col min="1256" max="1498" width="8.6640625" style="86"/>
    <col min="1499" max="1499" width="12.6640625" style="86" customWidth="1"/>
    <col min="1500" max="1500" width="60.33203125" style="86" customWidth="1"/>
    <col min="1501" max="1502" width="12.6640625" style="86" customWidth="1"/>
    <col min="1503" max="1503" width="12.33203125" style="86" bestFit="1" customWidth="1"/>
    <col min="1504" max="1504" width="15.6640625" style="86" customWidth="1"/>
    <col min="1505" max="1505" width="17.6640625" style="86" bestFit="1" customWidth="1"/>
    <col min="1506" max="1506" width="8.6640625" style="86"/>
    <col min="1507" max="1507" width="18" style="86" bestFit="1" customWidth="1"/>
    <col min="1508" max="1509" width="8.6640625" style="86"/>
    <col min="1510" max="1510" width="21.6640625" style="86" customWidth="1"/>
    <col min="1511" max="1511" width="9.44140625" style="86" bestFit="1" customWidth="1"/>
    <col min="1512" max="1754" width="8.6640625" style="86"/>
    <col min="1755" max="1755" width="12.6640625" style="86" customWidth="1"/>
    <col min="1756" max="1756" width="60.33203125" style="86" customWidth="1"/>
    <col min="1757" max="1758" width="12.6640625" style="86" customWidth="1"/>
    <col min="1759" max="1759" width="12.33203125" style="86" bestFit="1" customWidth="1"/>
    <col min="1760" max="1760" width="15.6640625" style="86" customWidth="1"/>
    <col min="1761" max="1761" width="17.6640625" style="86" bestFit="1" customWidth="1"/>
    <col min="1762" max="1762" width="8.6640625" style="86"/>
    <col min="1763" max="1763" width="18" style="86" bestFit="1" customWidth="1"/>
    <col min="1764" max="1765" width="8.6640625" style="86"/>
    <col min="1766" max="1766" width="21.6640625" style="86" customWidth="1"/>
    <col min="1767" max="1767" width="9.44140625" style="86" bestFit="1" customWidth="1"/>
    <col min="1768" max="2010" width="8.6640625" style="86"/>
    <col min="2011" max="2011" width="12.6640625" style="86" customWidth="1"/>
    <col min="2012" max="2012" width="60.33203125" style="86" customWidth="1"/>
    <col min="2013" max="2014" width="12.6640625" style="86" customWidth="1"/>
    <col min="2015" max="2015" width="12.33203125" style="86" bestFit="1" customWidth="1"/>
    <col min="2016" max="2016" width="15.6640625" style="86" customWidth="1"/>
    <col min="2017" max="2017" width="17.6640625" style="86" bestFit="1" customWidth="1"/>
    <col min="2018" max="2018" width="8.6640625" style="86"/>
    <col min="2019" max="2019" width="18" style="86" bestFit="1" customWidth="1"/>
    <col min="2020" max="2021" width="8.6640625" style="86"/>
    <col min="2022" max="2022" width="21.6640625" style="86" customWidth="1"/>
    <col min="2023" max="2023" width="9.44140625" style="86" bestFit="1" customWidth="1"/>
    <col min="2024" max="2266" width="8.6640625" style="86"/>
    <col min="2267" max="2267" width="12.6640625" style="86" customWidth="1"/>
    <col min="2268" max="2268" width="60.33203125" style="86" customWidth="1"/>
    <col min="2269" max="2270" width="12.6640625" style="86" customWidth="1"/>
    <col min="2271" max="2271" width="12.33203125" style="86" bestFit="1" customWidth="1"/>
    <col min="2272" max="2272" width="15.6640625" style="86" customWidth="1"/>
    <col min="2273" max="2273" width="17.6640625" style="86" bestFit="1" customWidth="1"/>
    <col min="2274" max="2274" width="8.6640625" style="86"/>
    <col min="2275" max="2275" width="18" style="86" bestFit="1" customWidth="1"/>
    <col min="2276" max="2277" width="8.6640625" style="86"/>
    <col min="2278" max="2278" width="21.6640625" style="86" customWidth="1"/>
    <col min="2279" max="2279" width="9.44140625" style="86" bestFit="1" customWidth="1"/>
    <col min="2280" max="2522" width="8.6640625" style="86"/>
    <col min="2523" max="2523" width="12.6640625" style="86" customWidth="1"/>
    <col min="2524" max="2524" width="60.33203125" style="86" customWidth="1"/>
    <col min="2525" max="2526" width="12.6640625" style="86" customWidth="1"/>
    <col min="2527" max="2527" width="12.33203125" style="86" bestFit="1" customWidth="1"/>
    <col min="2528" max="2528" width="15.6640625" style="86" customWidth="1"/>
    <col min="2529" max="2529" width="17.6640625" style="86" bestFit="1" customWidth="1"/>
    <col min="2530" max="2530" width="8.6640625" style="86"/>
    <col min="2531" max="2531" width="18" style="86" bestFit="1" customWidth="1"/>
    <col min="2532" max="2533" width="8.6640625" style="86"/>
    <col min="2534" max="2534" width="21.6640625" style="86" customWidth="1"/>
    <col min="2535" max="2535" width="9.44140625" style="86" bestFit="1" customWidth="1"/>
    <col min="2536" max="2778" width="8.6640625" style="86"/>
    <col min="2779" max="2779" width="12.6640625" style="86" customWidth="1"/>
    <col min="2780" max="2780" width="60.33203125" style="86" customWidth="1"/>
    <col min="2781" max="2782" width="12.6640625" style="86" customWidth="1"/>
    <col min="2783" max="2783" width="12.33203125" style="86" bestFit="1" customWidth="1"/>
    <col min="2784" max="2784" width="15.6640625" style="86" customWidth="1"/>
    <col min="2785" max="2785" width="17.6640625" style="86" bestFit="1" customWidth="1"/>
    <col min="2786" max="2786" width="8.6640625" style="86"/>
    <col min="2787" max="2787" width="18" style="86" bestFit="1" customWidth="1"/>
    <col min="2788" max="2789" width="8.6640625" style="86"/>
    <col min="2790" max="2790" width="21.6640625" style="86" customWidth="1"/>
    <col min="2791" max="2791" width="9.44140625" style="86" bestFit="1" customWidth="1"/>
    <col min="2792" max="3034" width="8.6640625" style="86"/>
    <col min="3035" max="3035" width="12.6640625" style="86" customWidth="1"/>
    <col min="3036" max="3036" width="60.33203125" style="86" customWidth="1"/>
    <col min="3037" max="3038" width="12.6640625" style="86" customWidth="1"/>
    <col min="3039" max="3039" width="12.33203125" style="86" bestFit="1" customWidth="1"/>
    <col min="3040" max="3040" width="15.6640625" style="86" customWidth="1"/>
    <col min="3041" max="3041" width="17.6640625" style="86" bestFit="1" customWidth="1"/>
    <col min="3042" max="3042" width="8.6640625" style="86"/>
    <col min="3043" max="3043" width="18" style="86" bestFit="1" customWidth="1"/>
    <col min="3044" max="3045" width="8.6640625" style="86"/>
    <col min="3046" max="3046" width="21.6640625" style="86" customWidth="1"/>
    <col min="3047" max="3047" width="9.44140625" style="86" bestFit="1" customWidth="1"/>
    <col min="3048" max="3290" width="8.6640625" style="86"/>
    <col min="3291" max="3291" width="12.6640625" style="86" customWidth="1"/>
    <col min="3292" max="3292" width="60.33203125" style="86" customWidth="1"/>
    <col min="3293" max="3294" width="12.6640625" style="86" customWidth="1"/>
    <col min="3295" max="3295" width="12.33203125" style="86" bestFit="1" customWidth="1"/>
    <col min="3296" max="3296" width="15.6640625" style="86" customWidth="1"/>
    <col min="3297" max="3297" width="17.6640625" style="86" bestFit="1" customWidth="1"/>
    <col min="3298" max="3298" width="8.6640625" style="86"/>
    <col min="3299" max="3299" width="18" style="86" bestFit="1" customWidth="1"/>
    <col min="3300" max="3301" width="8.6640625" style="86"/>
    <col min="3302" max="3302" width="21.6640625" style="86" customWidth="1"/>
    <col min="3303" max="3303" width="9.44140625" style="86" bestFit="1" customWidth="1"/>
    <col min="3304" max="3546" width="8.6640625" style="86"/>
    <col min="3547" max="3547" width="12.6640625" style="86" customWidth="1"/>
    <col min="3548" max="3548" width="60.33203125" style="86" customWidth="1"/>
    <col min="3549" max="3550" width="12.6640625" style="86" customWidth="1"/>
    <col min="3551" max="3551" width="12.33203125" style="86" bestFit="1" customWidth="1"/>
    <col min="3552" max="3552" width="15.6640625" style="86" customWidth="1"/>
    <col min="3553" max="3553" width="17.6640625" style="86" bestFit="1" customWidth="1"/>
    <col min="3554" max="3554" width="8.6640625" style="86"/>
    <col min="3555" max="3555" width="18" style="86" bestFit="1" customWidth="1"/>
    <col min="3556" max="3557" width="8.6640625" style="86"/>
    <col min="3558" max="3558" width="21.6640625" style="86" customWidth="1"/>
    <col min="3559" max="3559" width="9.44140625" style="86" bestFit="1" customWidth="1"/>
    <col min="3560" max="3802" width="8.6640625" style="86"/>
    <col min="3803" max="3803" width="12.6640625" style="86" customWidth="1"/>
    <col min="3804" max="3804" width="60.33203125" style="86" customWidth="1"/>
    <col min="3805" max="3806" width="12.6640625" style="86" customWidth="1"/>
    <col min="3807" max="3807" width="12.33203125" style="86" bestFit="1" customWidth="1"/>
    <col min="3808" max="3808" width="15.6640625" style="86" customWidth="1"/>
    <col min="3809" max="3809" width="17.6640625" style="86" bestFit="1" customWidth="1"/>
    <col min="3810" max="3810" width="8.6640625" style="86"/>
    <col min="3811" max="3811" width="18" style="86" bestFit="1" customWidth="1"/>
    <col min="3812" max="3813" width="8.6640625" style="86"/>
    <col min="3814" max="3814" width="21.6640625" style="86" customWidth="1"/>
    <col min="3815" max="3815" width="9.44140625" style="86" bestFit="1" customWidth="1"/>
    <col min="3816" max="4058" width="8.6640625" style="86"/>
    <col min="4059" max="4059" width="12.6640625" style="86" customWidth="1"/>
    <col min="4060" max="4060" width="60.33203125" style="86" customWidth="1"/>
    <col min="4061" max="4062" width="12.6640625" style="86" customWidth="1"/>
    <col min="4063" max="4063" width="12.33203125" style="86" bestFit="1" customWidth="1"/>
    <col min="4064" max="4064" width="15.6640625" style="86" customWidth="1"/>
    <col min="4065" max="4065" width="17.6640625" style="86" bestFit="1" customWidth="1"/>
    <col min="4066" max="4066" width="8.6640625" style="86"/>
    <col min="4067" max="4067" width="18" style="86" bestFit="1" customWidth="1"/>
    <col min="4068" max="4069" width="8.6640625" style="86"/>
    <col min="4070" max="4070" width="21.6640625" style="86" customWidth="1"/>
    <col min="4071" max="4071" width="9.44140625" style="86" bestFit="1" customWidth="1"/>
    <col min="4072" max="4314" width="8.6640625" style="86"/>
    <col min="4315" max="4315" width="12.6640625" style="86" customWidth="1"/>
    <col min="4316" max="4316" width="60.33203125" style="86" customWidth="1"/>
    <col min="4317" max="4318" width="12.6640625" style="86" customWidth="1"/>
    <col min="4319" max="4319" width="12.33203125" style="86" bestFit="1" customWidth="1"/>
    <col min="4320" max="4320" width="15.6640625" style="86" customWidth="1"/>
    <col min="4321" max="4321" width="17.6640625" style="86" bestFit="1" customWidth="1"/>
    <col min="4322" max="4322" width="8.6640625" style="86"/>
    <col min="4323" max="4323" width="18" style="86" bestFit="1" customWidth="1"/>
    <col min="4324" max="4325" width="8.6640625" style="86"/>
    <col min="4326" max="4326" width="21.6640625" style="86" customWidth="1"/>
    <col min="4327" max="4327" width="9.44140625" style="86" bestFit="1" customWidth="1"/>
    <col min="4328" max="4570" width="8.6640625" style="86"/>
    <col min="4571" max="4571" width="12.6640625" style="86" customWidth="1"/>
    <col min="4572" max="4572" width="60.33203125" style="86" customWidth="1"/>
    <col min="4573" max="4574" width="12.6640625" style="86" customWidth="1"/>
    <col min="4575" max="4575" width="12.33203125" style="86" bestFit="1" customWidth="1"/>
    <col min="4576" max="4576" width="15.6640625" style="86" customWidth="1"/>
    <col min="4577" max="4577" width="17.6640625" style="86" bestFit="1" customWidth="1"/>
    <col min="4578" max="4578" width="8.6640625" style="86"/>
    <col min="4579" max="4579" width="18" style="86" bestFit="1" customWidth="1"/>
    <col min="4580" max="4581" width="8.6640625" style="86"/>
    <col min="4582" max="4582" width="21.6640625" style="86" customWidth="1"/>
    <col min="4583" max="4583" width="9.44140625" style="86" bestFit="1" customWidth="1"/>
    <col min="4584" max="4826" width="8.6640625" style="86"/>
    <col min="4827" max="4827" width="12.6640625" style="86" customWidth="1"/>
    <col min="4828" max="4828" width="60.33203125" style="86" customWidth="1"/>
    <col min="4829" max="4830" width="12.6640625" style="86" customWidth="1"/>
    <col min="4831" max="4831" width="12.33203125" style="86" bestFit="1" customWidth="1"/>
    <col min="4832" max="4832" width="15.6640625" style="86" customWidth="1"/>
    <col min="4833" max="4833" width="17.6640625" style="86" bestFit="1" customWidth="1"/>
    <col min="4834" max="4834" width="8.6640625" style="86"/>
    <col min="4835" max="4835" width="18" style="86" bestFit="1" customWidth="1"/>
    <col min="4836" max="4837" width="8.6640625" style="86"/>
    <col min="4838" max="4838" width="21.6640625" style="86" customWidth="1"/>
    <col min="4839" max="4839" width="9.44140625" style="86" bestFit="1" customWidth="1"/>
    <col min="4840" max="5082" width="8.6640625" style="86"/>
    <col min="5083" max="5083" width="12.6640625" style="86" customWidth="1"/>
    <col min="5084" max="5084" width="60.33203125" style="86" customWidth="1"/>
    <col min="5085" max="5086" width="12.6640625" style="86" customWidth="1"/>
    <col min="5087" max="5087" width="12.33203125" style="86" bestFit="1" customWidth="1"/>
    <col min="5088" max="5088" width="15.6640625" style="86" customWidth="1"/>
    <col min="5089" max="5089" width="17.6640625" style="86" bestFit="1" customWidth="1"/>
    <col min="5090" max="5090" width="8.6640625" style="86"/>
    <col min="5091" max="5091" width="18" style="86" bestFit="1" customWidth="1"/>
    <col min="5092" max="5093" width="8.6640625" style="86"/>
    <col min="5094" max="5094" width="21.6640625" style="86" customWidth="1"/>
    <col min="5095" max="5095" width="9.44140625" style="86" bestFit="1" customWidth="1"/>
    <col min="5096" max="5338" width="8.6640625" style="86"/>
    <col min="5339" max="5339" width="12.6640625" style="86" customWidth="1"/>
    <col min="5340" max="5340" width="60.33203125" style="86" customWidth="1"/>
    <col min="5341" max="5342" width="12.6640625" style="86" customWidth="1"/>
    <col min="5343" max="5343" width="12.33203125" style="86" bestFit="1" customWidth="1"/>
    <col min="5344" max="5344" width="15.6640625" style="86" customWidth="1"/>
    <col min="5345" max="5345" width="17.6640625" style="86" bestFit="1" customWidth="1"/>
    <col min="5346" max="5346" width="8.6640625" style="86"/>
    <col min="5347" max="5347" width="18" style="86" bestFit="1" customWidth="1"/>
    <col min="5348" max="5349" width="8.6640625" style="86"/>
    <col min="5350" max="5350" width="21.6640625" style="86" customWidth="1"/>
    <col min="5351" max="5351" width="9.44140625" style="86" bestFit="1" customWidth="1"/>
    <col min="5352" max="5594" width="8.6640625" style="86"/>
    <col min="5595" max="5595" width="12.6640625" style="86" customWidth="1"/>
    <col min="5596" max="5596" width="60.33203125" style="86" customWidth="1"/>
    <col min="5597" max="5598" width="12.6640625" style="86" customWidth="1"/>
    <col min="5599" max="5599" width="12.33203125" style="86" bestFit="1" customWidth="1"/>
    <col min="5600" max="5600" width="15.6640625" style="86" customWidth="1"/>
    <col min="5601" max="5601" width="17.6640625" style="86" bestFit="1" customWidth="1"/>
    <col min="5602" max="5602" width="8.6640625" style="86"/>
    <col min="5603" max="5603" width="18" style="86" bestFit="1" customWidth="1"/>
    <col min="5604" max="5605" width="8.6640625" style="86"/>
    <col min="5606" max="5606" width="21.6640625" style="86" customWidth="1"/>
    <col min="5607" max="5607" width="9.44140625" style="86" bestFit="1" customWidth="1"/>
    <col min="5608" max="5850" width="8.6640625" style="86"/>
    <col min="5851" max="5851" width="12.6640625" style="86" customWidth="1"/>
    <col min="5852" max="5852" width="60.33203125" style="86" customWidth="1"/>
    <col min="5853" max="5854" width="12.6640625" style="86" customWidth="1"/>
    <col min="5855" max="5855" width="12.33203125" style="86" bestFit="1" customWidth="1"/>
    <col min="5856" max="5856" width="15.6640625" style="86" customWidth="1"/>
    <col min="5857" max="5857" width="17.6640625" style="86" bestFit="1" customWidth="1"/>
    <col min="5858" max="5858" width="8.6640625" style="86"/>
    <col min="5859" max="5859" width="18" style="86" bestFit="1" customWidth="1"/>
    <col min="5860" max="5861" width="8.6640625" style="86"/>
    <col min="5862" max="5862" width="21.6640625" style="86" customWidth="1"/>
    <col min="5863" max="5863" width="9.44140625" style="86" bestFit="1" customWidth="1"/>
    <col min="5864" max="6106" width="8.6640625" style="86"/>
    <col min="6107" max="6107" width="12.6640625" style="86" customWidth="1"/>
    <col min="6108" max="6108" width="60.33203125" style="86" customWidth="1"/>
    <col min="6109" max="6110" width="12.6640625" style="86" customWidth="1"/>
    <col min="6111" max="6111" width="12.33203125" style="86" bestFit="1" customWidth="1"/>
    <col min="6112" max="6112" width="15.6640625" style="86" customWidth="1"/>
    <col min="6113" max="6113" width="17.6640625" style="86" bestFit="1" customWidth="1"/>
    <col min="6114" max="6114" width="8.6640625" style="86"/>
    <col min="6115" max="6115" width="18" style="86" bestFit="1" customWidth="1"/>
    <col min="6116" max="6117" width="8.6640625" style="86"/>
    <col min="6118" max="6118" width="21.6640625" style="86" customWidth="1"/>
    <col min="6119" max="6119" width="9.44140625" style="86" bestFit="1" customWidth="1"/>
    <col min="6120" max="6362" width="8.6640625" style="86"/>
    <col min="6363" max="6363" width="12.6640625" style="86" customWidth="1"/>
    <col min="6364" max="6364" width="60.33203125" style="86" customWidth="1"/>
    <col min="6365" max="6366" width="12.6640625" style="86" customWidth="1"/>
    <col min="6367" max="6367" width="12.33203125" style="86" bestFit="1" customWidth="1"/>
    <col min="6368" max="6368" width="15.6640625" style="86" customWidth="1"/>
    <col min="6369" max="6369" width="17.6640625" style="86" bestFit="1" customWidth="1"/>
    <col min="6370" max="6370" width="8.6640625" style="86"/>
    <col min="6371" max="6371" width="18" style="86" bestFit="1" customWidth="1"/>
    <col min="6372" max="6373" width="8.6640625" style="86"/>
    <col min="6374" max="6374" width="21.6640625" style="86" customWidth="1"/>
    <col min="6375" max="6375" width="9.44140625" style="86" bestFit="1" customWidth="1"/>
    <col min="6376" max="6618" width="8.6640625" style="86"/>
    <col min="6619" max="6619" width="12.6640625" style="86" customWidth="1"/>
    <col min="6620" max="6620" width="60.33203125" style="86" customWidth="1"/>
    <col min="6621" max="6622" width="12.6640625" style="86" customWidth="1"/>
    <col min="6623" max="6623" width="12.33203125" style="86" bestFit="1" customWidth="1"/>
    <col min="6624" max="6624" width="15.6640625" style="86" customWidth="1"/>
    <col min="6625" max="6625" width="17.6640625" style="86" bestFit="1" customWidth="1"/>
    <col min="6626" max="6626" width="8.6640625" style="86"/>
    <col min="6627" max="6627" width="18" style="86" bestFit="1" customWidth="1"/>
    <col min="6628" max="6629" width="8.6640625" style="86"/>
    <col min="6630" max="6630" width="21.6640625" style="86" customWidth="1"/>
    <col min="6631" max="6631" width="9.44140625" style="86" bestFit="1" customWidth="1"/>
    <col min="6632" max="6874" width="8.6640625" style="86"/>
    <col min="6875" max="6875" width="12.6640625" style="86" customWidth="1"/>
    <col min="6876" max="6876" width="60.33203125" style="86" customWidth="1"/>
    <col min="6877" max="6878" width="12.6640625" style="86" customWidth="1"/>
    <col min="6879" max="6879" width="12.33203125" style="86" bestFit="1" customWidth="1"/>
    <col min="6880" max="6880" width="15.6640625" style="86" customWidth="1"/>
    <col min="6881" max="6881" width="17.6640625" style="86" bestFit="1" customWidth="1"/>
    <col min="6882" max="6882" width="8.6640625" style="86"/>
    <col min="6883" max="6883" width="18" style="86" bestFit="1" customWidth="1"/>
    <col min="6884" max="6885" width="8.6640625" style="86"/>
    <col min="6886" max="6886" width="21.6640625" style="86" customWidth="1"/>
    <col min="6887" max="6887" width="9.44140625" style="86" bestFit="1" customWidth="1"/>
    <col min="6888" max="7130" width="8.6640625" style="86"/>
    <col min="7131" max="7131" width="12.6640625" style="86" customWidth="1"/>
    <col min="7132" max="7132" width="60.33203125" style="86" customWidth="1"/>
    <col min="7133" max="7134" width="12.6640625" style="86" customWidth="1"/>
    <col min="7135" max="7135" width="12.33203125" style="86" bestFit="1" customWidth="1"/>
    <col min="7136" max="7136" width="15.6640625" style="86" customWidth="1"/>
    <col min="7137" max="7137" width="17.6640625" style="86" bestFit="1" customWidth="1"/>
    <col min="7138" max="7138" width="8.6640625" style="86"/>
    <col min="7139" max="7139" width="18" style="86" bestFit="1" customWidth="1"/>
    <col min="7140" max="7141" width="8.6640625" style="86"/>
    <col min="7142" max="7142" width="21.6640625" style="86" customWidth="1"/>
    <col min="7143" max="7143" width="9.44140625" style="86" bestFit="1" customWidth="1"/>
    <col min="7144" max="7386" width="8.6640625" style="86"/>
    <col min="7387" max="7387" width="12.6640625" style="86" customWidth="1"/>
    <col min="7388" max="7388" width="60.33203125" style="86" customWidth="1"/>
    <col min="7389" max="7390" width="12.6640625" style="86" customWidth="1"/>
    <col min="7391" max="7391" width="12.33203125" style="86" bestFit="1" customWidth="1"/>
    <col min="7392" max="7392" width="15.6640625" style="86" customWidth="1"/>
    <col min="7393" max="7393" width="17.6640625" style="86" bestFit="1" customWidth="1"/>
    <col min="7394" max="7394" width="8.6640625" style="86"/>
    <col min="7395" max="7395" width="18" style="86" bestFit="1" customWidth="1"/>
    <col min="7396" max="7397" width="8.6640625" style="86"/>
    <col min="7398" max="7398" width="21.6640625" style="86" customWidth="1"/>
    <col min="7399" max="7399" width="9.44140625" style="86" bestFit="1" customWidth="1"/>
    <col min="7400" max="7642" width="8.6640625" style="86"/>
    <col min="7643" max="7643" width="12.6640625" style="86" customWidth="1"/>
    <col min="7644" max="7644" width="60.33203125" style="86" customWidth="1"/>
    <col min="7645" max="7646" width="12.6640625" style="86" customWidth="1"/>
    <col min="7647" max="7647" width="12.33203125" style="86" bestFit="1" customWidth="1"/>
    <col min="7648" max="7648" width="15.6640625" style="86" customWidth="1"/>
    <col min="7649" max="7649" width="17.6640625" style="86" bestFit="1" customWidth="1"/>
    <col min="7650" max="7650" width="8.6640625" style="86"/>
    <col min="7651" max="7651" width="18" style="86" bestFit="1" customWidth="1"/>
    <col min="7652" max="7653" width="8.6640625" style="86"/>
    <col min="7654" max="7654" width="21.6640625" style="86" customWidth="1"/>
    <col min="7655" max="7655" width="9.44140625" style="86" bestFit="1" customWidth="1"/>
    <col min="7656" max="7898" width="8.6640625" style="86"/>
    <col min="7899" max="7899" width="12.6640625" style="86" customWidth="1"/>
    <col min="7900" max="7900" width="60.33203125" style="86" customWidth="1"/>
    <col min="7901" max="7902" width="12.6640625" style="86" customWidth="1"/>
    <col min="7903" max="7903" width="12.33203125" style="86" bestFit="1" customWidth="1"/>
    <col min="7904" max="7904" width="15.6640625" style="86" customWidth="1"/>
    <col min="7905" max="7905" width="17.6640625" style="86" bestFit="1" customWidth="1"/>
    <col min="7906" max="7906" width="8.6640625" style="86"/>
    <col min="7907" max="7907" width="18" style="86" bestFit="1" customWidth="1"/>
    <col min="7908" max="7909" width="8.6640625" style="86"/>
    <col min="7910" max="7910" width="21.6640625" style="86" customWidth="1"/>
    <col min="7911" max="7911" width="9.44140625" style="86" bestFit="1" customWidth="1"/>
    <col min="7912" max="8154" width="8.6640625" style="86"/>
    <col min="8155" max="8155" width="12.6640625" style="86" customWidth="1"/>
    <col min="8156" max="8156" width="60.33203125" style="86" customWidth="1"/>
    <col min="8157" max="8158" width="12.6640625" style="86" customWidth="1"/>
    <col min="8159" max="8159" width="12.33203125" style="86" bestFit="1" customWidth="1"/>
    <col min="8160" max="8160" width="15.6640625" style="86" customWidth="1"/>
    <col min="8161" max="8161" width="17.6640625" style="86" bestFit="1" customWidth="1"/>
    <col min="8162" max="8162" width="8.6640625" style="86"/>
    <col min="8163" max="8163" width="18" style="86" bestFit="1" customWidth="1"/>
    <col min="8164" max="8165" width="8.6640625" style="86"/>
    <col min="8166" max="8166" width="21.6640625" style="86" customWidth="1"/>
    <col min="8167" max="8167" width="9.44140625" style="86" bestFit="1" customWidth="1"/>
    <col min="8168" max="8410" width="8.6640625" style="86"/>
    <col min="8411" max="8411" width="12.6640625" style="86" customWidth="1"/>
    <col min="8412" max="8412" width="60.33203125" style="86" customWidth="1"/>
    <col min="8413" max="8414" width="12.6640625" style="86" customWidth="1"/>
    <col min="8415" max="8415" width="12.33203125" style="86" bestFit="1" customWidth="1"/>
    <col min="8416" max="8416" width="15.6640625" style="86" customWidth="1"/>
    <col min="8417" max="8417" width="17.6640625" style="86" bestFit="1" customWidth="1"/>
    <col min="8418" max="8418" width="8.6640625" style="86"/>
    <col min="8419" max="8419" width="18" style="86" bestFit="1" customWidth="1"/>
    <col min="8420" max="8421" width="8.6640625" style="86"/>
    <col min="8422" max="8422" width="21.6640625" style="86" customWidth="1"/>
    <col min="8423" max="8423" width="9.44140625" style="86" bestFit="1" customWidth="1"/>
    <col min="8424" max="8666" width="8.6640625" style="86"/>
    <col min="8667" max="8667" width="12.6640625" style="86" customWidth="1"/>
    <col min="8668" max="8668" width="60.33203125" style="86" customWidth="1"/>
    <col min="8669" max="8670" width="12.6640625" style="86" customWidth="1"/>
    <col min="8671" max="8671" width="12.33203125" style="86" bestFit="1" customWidth="1"/>
    <col min="8672" max="8672" width="15.6640625" style="86" customWidth="1"/>
    <col min="8673" max="8673" width="17.6640625" style="86" bestFit="1" customWidth="1"/>
    <col min="8674" max="8674" width="8.6640625" style="86"/>
    <col min="8675" max="8675" width="18" style="86" bestFit="1" customWidth="1"/>
    <col min="8676" max="8677" width="8.6640625" style="86"/>
    <col min="8678" max="8678" width="21.6640625" style="86" customWidth="1"/>
    <col min="8679" max="8679" width="9.44140625" style="86" bestFit="1" customWidth="1"/>
    <col min="8680" max="8922" width="8.6640625" style="86"/>
    <col min="8923" max="8923" width="12.6640625" style="86" customWidth="1"/>
    <col min="8924" max="8924" width="60.33203125" style="86" customWidth="1"/>
    <col min="8925" max="8926" width="12.6640625" style="86" customWidth="1"/>
    <col min="8927" max="8927" width="12.33203125" style="86" bestFit="1" customWidth="1"/>
    <col min="8928" max="8928" width="15.6640625" style="86" customWidth="1"/>
    <col min="8929" max="8929" width="17.6640625" style="86" bestFit="1" customWidth="1"/>
    <col min="8930" max="8930" width="8.6640625" style="86"/>
    <col min="8931" max="8931" width="18" style="86" bestFit="1" customWidth="1"/>
    <col min="8932" max="8933" width="8.6640625" style="86"/>
    <col min="8934" max="8934" width="21.6640625" style="86" customWidth="1"/>
    <col min="8935" max="8935" width="9.44140625" style="86" bestFit="1" customWidth="1"/>
    <col min="8936" max="9178" width="8.6640625" style="86"/>
    <col min="9179" max="9179" width="12.6640625" style="86" customWidth="1"/>
    <col min="9180" max="9180" width="60.33203125" style="86" customWidth="1"/>
    <col min="9181" max="9182" width="12.6640625" style="86" customWidth="1"/>
    <col min="9183" max="9183" width="12.33203125" style="86" bestFit="1" customWidth="1"/>
    <col min="9184" max="9184" width="15.6640625" style="86" customWidth="1"/>
    <col min="9185" max="9185" width="17.6640625" style="86" bestFit="1" customWidth="1"/>
    <col min="9186" max="9186" width="8.6640625" style="86"/>
    <col min="9187" max="9187" width="18" style="86" bestFit="1" customWidth="1"/>
    <col min="9188" max="9189" width="8.6640625" style="86"/>
    <col min="9190" max="9190" width="21.6640625" style="86" customWidth="1"/>
    <col min="9191" max="9191" width="9.44140625" style="86" bestFit="1" customWidth="1"/>
    <col min="9192" max="9434" width="8.6640625" style="86"/>
    <col min="9435" max="9435" width="12.6640625" style="86" customWidth="1"/>
    <col min="9436" max="9436" width="60.33203125" style="86" customWidth="1"/>
    <col min="9437" max="9438" width="12.6640625" style="86" customWidth="1"/>
    <col min="9439" max="9439" width="12.33203125" style="86" bestFit="1" customWidth="1"/>
    <col min="9440" max="9440" width="15.6640625" style="86" customWidth="1"/>
    <col min="9441" max="9441" width="17.6640625" style="86" bestFit="1" customWidth="1"/>
    <col min="9442" max="9442" width="8.6640625" style="86"/>
    <col min="9443" max="9443" width="18" style="86" bestFit="1" customWidth="1"/>
    <col min="9444" max="9445" width="8.6640625" style="86"/>
    <col min="9446" max="9446" width="21.6640625" style="86" customWidth="1"/>
    <col min="9447" max="9447" width="9.44140625" style="86" bestFit="1" customWidth="1"/>
    <col min="9448" max="9690" width="8.6640625" style="86"/>
    <col min="9691" max="9691" width="12.6640625" style="86" customWidth="1"/>
    <col min="9692" max="9692" width="60.33203125" style="86" customWidth="1"/>
    <col min="9693" max="9694" width="12.6640625" style="86" customWidth="1"/>
    <col min="9695" max="9695" width="12.33203125" style="86" bestFit="1" customWidth="1"/>
    <col min="9696" max="9696" width="15.6640625" style="86" customWidth="1"/>
    <col min="9697" max="9697" width="17.6640625" style="86" bestFit="1" customWidth="1"/>
    <col min="9698" max="9698" width="8.6640625" style="86"/>
    <col min="9699" max="9699" width="18" style="86" bestFit="1" customWidth="1"/>
    <col min="9700" max="9701" width="8.6640625" style="86"/>
    <col min="9702" max="9702" width="21.6640625" style="86" customWidth="1"/>
    <col min="9703" max="9703" width="9.44140625" style="86" bestFit="1" customWidth="1"/>
    <col min="9704" max="9946" width="8.6640625" style="86"/>
    <col min="9947" max="9947" width="12.6640625" style="86" customWidth="1"/>
    <col min="9948" max="9948" width="60.33203125" style="86" customWidth="1"/>
    <col min="9949" max="9950" width="12.6640625" style="86" customWidth="1"/>
    <col min="9951" max="9951" width="12.33203125" style="86" bestFit="1" customWidth="1"/>
    <col min="9952" max="9952" width="15.6640625" style="86" customWidth="1"/>
    <col min="9953" max="9953" width="17.6640625" style="86" bestFit="1" customWidth="1"/>
    <col min="9954" max="9954" width="8.6640625" style="86"/>
    <col min="9955" max="9955" width="18" style="86" bestFit="1" customWidth="1"/>
    <col min="9956" max="9957" width="8.6640625" style="86"/>
    <col min="9958" max="9958" width="21.6640625" style="86" customWidth="1"/>
    <col min="9959" max="9959" width="9.44140625" style="86" bestFit="1" customWidth="1"/>
    <col min="9960" max="10202" width="8.6640625" style="86"/>
    <col min="10203" max="10203" width="12.6640625" style="86" customWidth="1"/>
    <col min="10204" max="10204" width="60.33203125" style="86" customWidth="1"/>
    <col min="10205" max="10206" width="12.6640625" style="86" customWidth="1"/>
    <col min="10207" max="10207" width="12.33203125" style="86" bestFit="1" customWidth="1"/>
    <col min="10208" max="10208" width="15.6640625" style="86" customWidth="1"/>
    <col min="10209" max="10209" width="17.6640625" style="86" bestFit="1" customWidth="1"/>
    <col min="10210" max="10210" width="8.6640625" style="86"/>
    <col min="10211" max="10211" width="18" style="86" bestFit="1" customWidth="1"/>
    <col min="10212" max="10213" width="8.6640625" style="86"/>
    <col min="10214" max="10214" width="21.6640625" style="86" customWidth="1"/>
    <col min="10215" max="10215" width="9.44140625" style="86" bestFit="1" customWidth="1"/>
    <col min="10216" max="10458" width="8.6640625" style="86"/>
    <col min="10459" max="10459" width="12.6640625" style="86" customWidth="1"/>
    <col min="10460" max="10460" width="60.33203125" style="86" customWidth="1"/>
    <col min="10461" max="10462" width="12.6640625" style="86" customWidth="1"/>
    <col min="10463" max="10463" width="12.33203125" style="86" bestFit="1" customWidth="1"/>
    <col min="10464" max="10464" width="15.6640625" style="86" customWidth="1"/>
    <col min="10465" max="10465" width="17.6640625" style="86" bestFit="1" customWidth="1"/>
    <col min="10466" max="10466" width="8.6640625" style="86"/>
    <col min="10467" max="10467" width="18" style="86" bestFit="1" customWidth="1"/>
    <col min="10468" max="10469" width="8.6640625" style="86"/>
    <col min="10470" max="10470" width="21.6640625" style="86" customWidth="1"/>
    <col min="10471" max="10471" width="9.44140625" style="86" bestFit="1" customWidth="1"/>
    <col min="10472" max="10714" width="8.6640625" style="86"/>
    <col min="10715" max="10715" width="12.6640625" style="86" customWidth="1"/>
    <col min="10716" max="10716" width="60.33203125" style="86" customWidth="1"/>
    <col min="10717" max="10718" width="12.6640625" style="86" customWidth="1"/>
    <col min="10719" max="10719" width="12.33203125" style="86" bestFit="1" customWidth="1"/>
    <col min="10720" max="10720" width="15.6640625" style="86" customWidth="1"/>
    <col min="10721" max="10721" width="17.6640625" style="86" bestFit="1" customWidth="1"/>
    <col min="10722" max="10722" width="8.6640625" style="86"/>
    <col min="10723" max="10723" width="18" style="86" bestFit="1" customWidth="1"/>
    <col min="10724" max="10725" width="8.6640625" style="86"/>
    <col min="10726" max="10726" width="21.6640625" style="86" customWidth="1"/>
    <col min="10727" max="10727" width="9.44140625" style="86" bestFit="1" customWidth="1"/>
    <col min="10728" max="10970" width="8.6640625" style="86"/>
    <col min="10971" max="10971" width="12.6640625" style="86" customWidth="1"/>
    <col min="10972" max="10972" width="60.33203125" style="86" customWidth="1"/>
    <col min="10973" max="10974" width="12.6640625" style="86" customWidth="1"/>
    <col min="10975" max="10975" width="12.33203125" style="86" bestFit="1" customWidth="1"/>
    <col min="10976" max="10976" width="15.6640625" style="86" customWidth="1"/>
    <col min="10977" max="10977" width="17.6640625" style="86" bestFit="1" customWidth="1"/>
    <col min="10978" max="10978" width="8.6640625" style="86"/>
    <col min="10979" max="10979" width="18" style="86" bestFit="1" customWidth="1"/>
    <col min="10980" max="10981" width="8.6640625" style="86"/>
    <col min="10982" max="10982" width="21.6640625" style="86" customWidth="1"/>
    <col min="10983" max="10983" width="9.44140625" style="86" bestFit="1" customWidth="1"/>
    <col min="10984" max="11226" width="8.6640625" style="86"/>
    <col min="11227" max="11227" width="12.6640625" style="86" customWidth="1"/>
    <col min="11228" max="11228" width="60.33203125" style="86" customWidth="1"/>
    <col min="11229" max="11230" width="12.6640625" style="86" customWidth="1"/>
    <col min="11231" max="11231" width="12.33203125" style="86" bestFit="1" customWidth="1"/>
    <col min="11232" max="11232" width="15.6640625" style="86" customWidth="1"/>
    <col min="11233" max="11233" width="17.6640625" style="86" bestFit="1" customWidth="1"/>
    <col min="11234" max="11234" width="8.6640625" style="86"/>
    <col min="11235" max="11235" width="18" style="86" bestFit="1" customWidth="1"/>
    <col min="11236" max="11237" width="8.6640625" style="86"/>
    <col min="11238" max="11238" width="21.6640625" style="86" customWidth="1"/>
    <col min="11239" max="11239" width="9.44140625" style="86" bestFit="1" customWidth="1"/>
    <col min="11240" max="11482" width="8.6640625" style="86"/>
    <col min="11483" max="11483" width="12.6640625" style="86" customWidth="1"/>
    <col min="11484" max="11484" width="60.33203125" style="86" customWidth="1"/>
    <col min="11485" max="11486" width="12.6640625" style="86" customWidth="1"/>
    <col min="11487" max="11487" width="12.33203125" style="86" bestFit="1" customWidth="1"/>
    <col min="11488" max="11488" width="15.6640625" style="86" customWidth="1"/>
    <col min="11489" max="11489" width="17.6640625" style="86" bestFit="1" customWidth="1"/>
    <col min="11490" max="11490" width="8.6640625" style="86"/>
    <col min="11491" max="11491" width="18" style="86" bestFit="1" customWidth="1"/>
    <col min="11492" max="11493" width="8.6640625" style="86"/>
    <col min="11494" max="11494" width="21.6640625" style="86" customWidth="1"/>
    <col min="11495" max="11495" width="9.44140625" style="86" bestFit="1" customWidth="1"/>
    <col min="11496" max="11738" width="8.6640625" style="86"/>
    <col min="11739" max="11739" width="12.6640625" style="86" customWidth="1"/>
    <col min="11740" max="11740" width="60.33203125" style="86" customWidth="1"/>
    <col min="11741" max="11742" width="12.6640625" style="86" customWidth="1"/>
    <col min="11743" max="11743" width="12.33203125" style="86" bestFit="1" customWidth="1"/>
    <col min="11744" max="11744" width="15.6640625" style="86" customWidth="1"/>
    <col min="11745" max="11745" width="17.6640625" style="86" bestFit="1" customWidth="1"/>
    <col min="11746" max="11746" width="8.6640625" style="86"/>
    <col min="11747" max="11747" width="18" style="86" bestFit="1" customWidth="1"/>
    <col min="11748" max="11749" width="8.6640625" style="86"/>
    <col min="11750" max="11750" width="21.6640625" style="86" customWidth="1"/>
    <col min="11751" max="11751" width="9.44140625" style="86" bestFit="1" customWidth="1"/>
    <col min="11752" max="11994" width="8.6640625" style="86"/>
    <col min="11995" max="11995" width="12.6640625" style="86" customWidth="1"/>
    <col min="11996" max="11996" width="60.33203125" style="86" customWidth="1"/>
    <col min="11997" max="11998" width="12.6640625" style="86" customWidth="1"/>
    <col min="11999" max="11999" width="12.33203125" style="86" bestFit="1" customWidth="1"/>
    <col min="12000" max="12000" width="15.6640625" style="86" customWidth="1"/>
    <col min="12001" max="12001" width="17.6640625" style="86" bestFit="1" customWidth="1"/>
    <col min="12002" max="12002" width="8.6640625" style="86"/>
    <col min="12003" max="12003" width="18" style="86" bestFit="1" customWidth="1"/>
    <col min="12004" max="12005" width="8.6640625" style="86"/>
    <col min="12006" max="12006" width="21.6640625" style="86" customWidth="1"/>
    <col min="12007" max="12007" width="9.44140625" style="86" bestFit="1" customWidth="1"/>
    <col min="12008" max="12250" width="8.6640625" style="86"/>
    <col min="12251" max="12251" width="12.6640625" style="86" customWidth="1"/>
    <col min="12252" max="12252" width="60.33203125" style="86" customWidth="1"/>
    <col min="12253" max="12254" width="12.6640625" style="86" customWidth="1"/>
    <col min="12255" max="12255" width="12.33203125" style="86" bestFit="1" customWidth="1"/>
    <col min="12256" max="12256" width="15.6640625" style="86" customWidth="1"/>
    <col min="12257" max="12257" width="17.6640625" style="86" bestFit="1" customWidth="1"/>
    <col min="12258" max="12258" width="8.6640625" style="86"/>
    <col min="12259" max="12259" width="18" style="86" bestFit="1" customWidth="1"/>
    <col min="12260" max="12261" width="8.6640625" style="86"/>
    <col min="12262" max="12262" width="21.6640625" style="86" customWidth="1"/>
    <col min="12263" max="12263" width="9.44140625" style="86" bestFit="1" customWidth="1"/>
    <col min="12264" max="12506" width="8.6640625" style="86"/>
    <col min="12507" max="12507" width="12.6640625" style="86" customWidth="1"/>
    <col min="12508" max="12508" width="60.33203125" style="86" customWidth="1"/>
    <col min="12509" max="12510" width="12.6640625" style="86" customWidth="1"/>
    <col min="12511" max="12511" width="12.33203125" style="86" bestFit="1" customWidth="1"/>
    <col min="12512" max="12512" width="15.6640625" style="86" customWidth="1"/>
    <col min="12513" max="12513" width="17.6640625" style="86" bestFit="1" customWidth="1"/>
    <col min="12514" max="12514" width="8.6640625" style="86"/>
    <col min="12515" max="12515" width="18" style="86" bestFit="1" customWidth="1"/>
    <col min="12516" max="12517" width="8.6640625" style="86"/>
    <col min="12518" max="12518" width="21.6640625" style="86" customWidth="1"/>
    <col min="12519" max="12519" width="9.44140625" style="86" bestFit="1" customWidth="1"/>
    <col min="12520" max="12762" width="8.6640625" style="86"/>
    <col min="12763" max="12763" width="12.6640625" style="86" customWidth="1"/>
    <col min="12764" max="12764" width="60.33203125" style="86" customWidth="1"/>
    <col min="12765" max="12766" width="12.6640625" style="86" customWidth="1"/>
    <col min="12767" max="12767" width="12.33203125" style="86" bestFit="1" customWidth="1"/>
    <col min="12768" max="12768" width="15.6640625" style="86" customWidth="1"/>
    <col min="12769" max="12769" width="17.6640625" style="86" bestFit="1" customWidth="1"/>
    <col min="12770" max="12770" width="8.6640625" style="86"/>
    <col min="12771" max="12771" width="18" style="86" bestFit="1" customWidth="1"/>
    <col min="12772" max="12773" width="8.6640625" style="86"/>
    <col min="12774" max="12774" width="21.6640625" style="86" customWidth="1"/>
    <col min="12775" max="12775" width="9.44140625" style="86" bestFit="1" customWidth="1"/>
    <col min="12776" max="13018" width="8.6640625" style="86"/>
    <col min="13019" max="13019" width="12.6640625" style="86" customWidth="1"/>
    <col min="13020" max="13020" width="60.33203125" style="86" customWidth="1"/>
    <col min="13021" max="13022" width="12.6640625" style="86" customWidth="1"/>
    <col min="13023" max="13023" width="12.33203125" style="86" bestFit="1" customWidth="1"/>
    <col min="13024" max="13024" width="15.6640625" style="86" customWidth="1"/>
    <col min="13025" max="13025" width="17.6640625" style="86" bestFit="1" customWidth="1"/>
    <col min="13026" max="13026" width="8.6640625" style="86"/>
    <col min="13027" max="13027" width="18" style="86" bestFit="1" customWidth="1"/>
    <col min="13028" max="13029" width="8.6640625" style="86"/>
    <col min="13030" max="13030" width="21.6640625" style="86" customWidth="1"/>
    <col min="13031" max="13031" width="9.44140625" style="86" bestFit="1" customWidth="1"/>
    <col min="13032" max="13274" width="8.6640625" style="86"/>
    <col min="13275" max="13275" width="12.6640625" style="86" customWidth="1"/>
    <col min="13276" max="13276" width="60.33203125" style="86" customWidth="1"/>
    <col min="13277" max="13278" width="12.6640625" style="86" customWidth="1"/>
    <col min="13279" max="13279" width="12.33203125" style="86" bestFit="1" customWidth="1"/>
    <col min="13280" max="13280" width="15.6640625" style="86" customWidth="1"/>
    <col min="13281" max="13281" width="17.6640625" style="86" bestFit="1" customWidth="1"/>
    <col min="13282" max="13282" width="8.6640625" style="86"/>
    <col min="13283" max="13283" width="18" style="86" bestFit="1" customWidth="1"/>
    <col min="13284" max="13285" width="8.6640625" style="86"/>
    <col min="13286" max="13286" width="21.6640625" style="86" customWidth="1"/>
    <col min="13287" max="13287" width="9.44140625" style="86" bestFit="1" customWidth="1"/>
    <col min="13288" max="13530" width="8.6640625" style="86"/>
    <col min="13531" max="13531" width="12.6640625" style="86" customWidth="1"/>
    <col min="13532" max="13532" width="60.33203125" style="86" customWidth="1"/>
    <col min="13533" max="13534" width="12.6640625" style="86" customWidth="1"/>
    <col min="13535" max="13535" width="12.33203125" style="86" bestFit="1" customWidth="1"/>
    <col min="13536" max="13536" width="15.6640625" style="86" customWidth="1"/>
    <col min="13537" max="13537" width="17.6640625" style="86" bestFit="1" customWidth="1"/>
    <col min="13538" max="13538" width="8.6640625" style="86"/>
    <col min="13539" max="13539" width="18" style="86" bestFit="1" customWidth="1"/>
    <col min="13540" max="13541" width="8.6640625" style="86"/>
    <col min="13542" max="13542" width="21.6640625" style="86" customWidth="1"/>
    <col min="13543" max="13543" width="9.44140625" style="86" bestFit="1" customWidth="1"/>
    <col min="13544" max="13786" width="8.6640625" style="86"/>
    <col min="13787" max="13787" width="12.6640625" style="86" customWidth="1"/>
    <col min="13788" max="13788" width="60.33203125" style="86" customWidth="1"/>
    <col min="13789" max="13790" width="12.6640625" style="86" customWidth="1"/>
    <col min="13791" max="13791" width="12.33203125" style="86" bestFit="1" customWidth="1"/>
    <col min="13792" max="13792" width="15.6640625" style="86" customWidth="1"/>
    <col min="13793" max="13793" width="17.6640625" style="86" bestFit="1" customWidth="1"/>
    <col min="13794" max="13794" width="8.6640625" style="86"/>
    <col min="13795" max="13795" width="18" style="86" bestFit="1" customWidth="1"/>
    <col min="13796" max="13797" width="8.6640625" style="86"/>
    <col min="13798" max="13798" width="21.6640625" style="86" customWidth="1"/>
    <col min="13799" max="13799" width="9.44140625" style="86" bestFit="1" customWidth="1"/>
    <col min="13800" max="14042" width="8.6640625" style="86"/>
    <col min="14043" max="14043" width="12.6640625" style="86" customWidth="1"/>
    <col min="14044" max="14044" width="60.33203125" style="86" customWidth="1"/>
    <col min="14045" max="14046" width="12.6640625" style="86" customWidth="1"/>
    <col min="14047" max="14047" width="12.33203125" style="86" bestFit="1" customWidth="1"/>
    <col min="14048" max="14048" width="15.6640625" style="86" customWidth="1"/>
    <col min="14049" max="14049" width="17.6640625" style="86" bestFit="1" customWidth="1"/>
    <col min="14050" max="14050" width="8.6640625" style="86"/>
    <col min="14051" max="14051" width="18" style="86" bestFit="1" customWidth="1"/>
    <col min="14052" max="14053" width="8.6640625" style="86"/>
    <col min="14054" max="14054" width="21.6640625" style="86" customWidth="1"/>
    <col min="14055" max="14055" width="9.44140625" style="86" bestFit="1" customWidth="1"/>
    <col min="14056" max="14298" width="8.6640625" style="86"/>
    <col min="14299" max="14299" width="12.6640625" style="86" customWidth="1"/>
    <col min="14300" max="14300" width="60.33203125" style="86" customWidth="1"/>
    <col min="14301" max="14302" width="12.6640625" style="86" customWidth="1"/>
    <col min="14303" max="14303" width="12.33203125" style="86" bestFit="1" customWidth="1"/>
    <col min="14304" max="14304" width="15.6640625" style="86" customWidth="1"/>
    <col min="14305" max="14305" width="17.6640625" style="86" bestFit="1" customWidth="1"/>
    <col min="14306" max="14306" width="8.6640625" style="86"/>
    <col min="14307" max="14307" width="18" style="86" bestFit="1" customWidth="1"/>
    <col min="14308" max="14309" width="8.6640625" style="86"/>
    <col min="14310" max="14310" width="21.6640625" style="86" customWidth="1"/>
    <col min="14311" max="14311" width="9.44140625" style="86" bestFit="1" customWidth="1"/>
    <col min="14312" max="14554" width="8.6640625" style="86"/>
    <col min="14555" max="14555" width="12.6640625" style="86" customWidth="1"/>
    <col min="14556" max="14556" width="60.33203125" style="86" customWidth="1"/>
    <col min="14557" max="14558" width="12.6640625" style="86" customWidth="1"/>
    <col min="14559" max="14559" width="12.33203125" style="86" bestFit="1" customWidth="1"/>
    <col min="14560" max="14560" width="15.6640625" style="86" customWidth="1"/>
    <col min="14561" max="14561" width="17.6640625" style="86" bestFit="1" customWidth="1"/>
    <col min="14562" max="14562" width="8.6640625" style="86"/>
    <col min="14563" max="14563" width="18" style="86" bestFit="1" customWidth="1"/>
    <col min="14564" max="14565" width="8.6640625" style="86"/>
    <col min="14566" max="14566" width="21.6640625" style="86" customWidth="1"/>
    <col min="14567" max="14567" width="9.44140625" style="86" bestFit="1" customWidth="1"/>
    <col min="14568" max="14810" width="8.6640625" style="86"/>
    <col min="14811" max="14811" width="12.6640625" style="86" customWidth="1"/>
    <col min="14812" max="14812" width="60.33203125" style="86" customWidth="1"/>
    <col min="14813" max="14814" width="12.6640625" style="86" customWidth="1"/>
    <col min="14815" max="14815" width="12.33203125" style="86" bestFit="1" customWidth="1"/>
    <col min="14816" max="14816" width="15.6640625" style="86" customWidth="1"/>
    <col min="14817" max="14817" width="17.6640625" style="86" bestFit="1" customWidth="1"/>
    <col min="14818" max="14818" width="8.6640625" style="86"/>
    <col min="14819" max="14819" width="18" style="86" bestFit="1" customWidth="1"/>
    <col min="14820" max="14821" width="8.6640625" style="86"/>
    <col min="14822" max="14822" width="21.6640625" style="86" customWidth="1"/>
    <col min="14823" max="14823" width="9.44140625" style="86" bestFit="1" customWidth="1"/>
    <col min="14824" max="15066" width="8.6640625" style="86"/>
    <col min="15067" max="15067" width="12.6640625" style="86" customWidth="1"/>
    <col min="15068" max="15068" width="60.33203125" style="86" customWidth="1"/>
    <col min="15069" max="15070" width="12.6640625" style="86" customWidth="1"/>
    <col min="15071" max="15071" width="12.33203125" style="86" bestFit="1" customWidth="1"/>
    <col min="15072" max="15072" width="15.6640625" style="86" customWidth="1"/>
    <col min="15073" max="15073" width="17.6640625" style="86" bestFit="1" customWidth="1"/>
    <col min="15074" max="15074" width="8.6640625" style="86"/>
    <col min="15075" max="15075" width="18" style="86" bestFit="1" customWidth="1"/>
    <col min="15076" max="15077" width="8.6640625" style="86"/>
    <col min="15078" max="15078" width="21.6640625" style="86" customWidth="1"/>
    <col min="15079" max="15079" width="9.44140625" style="86" bestFit="1" customWidth="1"/>
    <col min="15080" max="15322" width="8.6640625" style="86"/>
    <col min="15323" max="15323" width="12.6640625" style="86" customWidth="1"/>
    <col min="15324" max="15324" width="60.33203125" style="86" customWidth="1"/>
    <col min="15325" max="15326" width="12.6640625" style="86" customWidth="1"/>
    <col min="15327" max="15327" width="12.33203125" style="86" bestFit="1" customWidth="1"/>
    <col min="15328" max="15328" width="15.6640625" style="86" customWidth="1"/>
    <col min="15329" max="15329" width="17.6640625" style="86" bestFit="1" customWidth="1"/>
    <col min="15330" max="15330" width="8.6640625" style="86"/>
    <col min="15331" max="15331" width="18" style="86" bestFit="1" customWidth="1"/>
    <col min="15332" max="15333" width="8.6640625" style="86"/>
    <col min="15334" max="15334" width="21.6640625" style="86" customWidth="1"/>
    <col min="15335" max="15335" width="9.44140625" style="86" bestFit="1" customWidth="1"/>
    <col min="15336" max="15578" width="8.6640625" style="86"/>
    <col min="15579" max="15579" width="12.6640625" style="86" customWidth="1"/>
    <col min="15580" max="15580" width="60.33203125" style="86" customWidth="1"/>
    <col min="15581" max="15582" width="12.6640625" style="86" customWidth="1"/>
    <col min="15583" max="15583" width="12.33203125" style="86" bestFit="1" customWidth="1"/>
    <col min="15584" max="15584" width="15.6640625" style="86" customWidth="1"/>
    <col min="15585" max="15585" width="17.6640625" style="86" bestFit="1" customWidth="1"/>
    <col min="15586" max="15586" width="8.6640625" style="86"/>
    <col min="15587" max="15587" width="18" style="86" bestFit="1" customWidth="1"/>
    <col min="15588" max="15589" width="8.6640625" style="86"/>
    <col min="15590" max="15590" width="21.6640625" style="86" customWidth="1"/>
    <col min="15591" max="15591" width="9.44140625" style="86" bestFit="1" customWidth="1"/>
    <col min="15592" max="15834" width="8.6640625" style="86"/>
    <col min="15835" max="15835" width="12.6640625" style="86" customWidth="1"/>
    <col min="15836" max="15836" width="60.33203125" style="86" customWidth="1"/>
    <col min="15837" max="15838" width="12.6640625" style="86" customWidth="1"/>
    <col min="15839" max="15839" width="12.33203125" style="86" bestFit="1" customWidth="1"/>
    <col min="15840" max="15840" width="15.6640625" style="86" customWidth="1"/>
    <col min="15841" max="15841" width="17.6640625" style="86" bestFit="1" customWidth="1"/>
    <col min="15842" max="15842" width="8.6640625" style="86"/>
    <col min="15843" max="15843" width="18" style="86" bestFit="1" customWidth="1"/>
    <col min="15844" max="15845" width="8.6640625" style="86"/>
    <col min="15846" max="15846" width="21.6640625" style="86" customWidth="1"/>
    <col min="15847" max="15847" width="9.44140625" style="86" bestFit="1" customWidth="1"/>
    <col min="15848" max="16090" width="8.6640625" style="86"/>
    <col min="16091" max="16091" width="12.6640625" style="86" customWidth="1"/>
    <col min="16092" max="16092" width="60.33203125" style="86" customWidth="1"/>
    <col min="16093" max="16094" width="12.6640625" style="86" customWidth="1"/>
    <col min="16095" max="16095" width="12.33203125" style="86" bestFit="1" customWidth="1"/>
    <col min="16096" max="16096" width="15.6640625" style="86" customWidth="1"/>
    <col min="16097" max="16097" width="17.6640625" style="86" bestFit="1" customWidth="1"/>
    <col min="16098" max="16098" width="8.6640625" style="86"/>
    <col min="16099" max="16099" width="18" style="86" bestFit="1" customWidth="1"/>
    <col min="16100" max="16101" width="8.6640625" style="86"/>
    <col min="16102" max="16102" width="21.6640625" style="86" customWidth="1"/>
    <col min="16103" max="16103" width="9.44140625" style="86" bestFit="1" customWidth="1"/>
    <col min="16104" max="16384" width="8.6640625" style="86"/>
  </cols>
  <sheetData>
    <row r="1" spans="1:10" ht="14.4" thickBot="1">
      <c r="A1" s="337" t="s">
        <v>39</v>
      </c>
      <c r="B1" s="338"/>
      <c r="C1" s="339"/>
      <c r="D1" s="339"/>
      <c r="E1" s="339"/>
      <c r="F1" s="85"/>
    </row>
    <row r="2" spans="1:10" ht="19.95" customHeight="1" thickBot="1">
      <c r="A2" s="87"/>
      <c r="B2" s="88"/>
      <c r="C2" s="88"/>
      <c r="D2" s="88"/>
      <c r="E2" s="89"/>
    </row>
    <row r="3" spans="1:10" ht="19.95" customHeight="1">
      <c r="A3" s="90" t="s">
        <v>274</v>
      </c>
      <c r="B3" s="335" t="s">
        <v>67</v>
      </c>
      <c r="C3" s="335"/>
      <c r="D3" s="335"/>
      <c r="E3" s="335"/>
      <c r="F3" s="336"/>
      <c r="H3" s="331"/>
      <c r="I3" s="331"/>
      <c r="J3" s="332"/>
    </row>
    <row r="4" spans="1:10" ht="27.75" customHeight="1">
      <c r="A4" s="91" t="s">
        <v>3</v>
      </c>
      <c r="B4" s="92" t="s">
        <v>5</v>
      </c>
      <c r="C4" s="92" t="s">
        <v>6</v>
      </c>
      <c r="D4" s="154" t="s">
        <v>74</v>
      </c>
      <c r="E4" s="92" t="s">
        <v>40</v>
      </c>
      <c r="F4" s="93" t="s">
        <v>41</v>
      </c>
      <c r="H4" s="160" t="s">
        <v>42</v>
      </c>
      <c r="I4" s="160" t="s">
        <v>43</v>
      </c>
      <c r="J4" s="160" t="s">
        <v>44</v>
      </c>
    </row>
    <row r="5" spans="1:10" ht="19.95" customHeight="1">
      <c r="A5" s="94"/>
      <c r="B5" s="37" t="str">
        <f>B3</f>
        <v>ELABORAÇÃO DE DOCUMENTOS PARA AUDIÊNCIA PÚBLICA DOS PROJETOS DE CONCESSÃO E PRORROGAÇÕES ANTECIPADAS</v>
      </c>
      <c r="C5" s="38"/>
      <c r="D5" s="95"/>
      <c r="E5" s="42"/>
      <c r="F5" s="39">
        <f>F6+F19+F25</f>
        <v>215045.82666764825</v>
      </c>
      <c r="H5" s="162">
        <f>I5*J5</f>
        <v>176</v>
      </c>
      <c r="I5" s="161">
        <v>22</v>
      </c>
      <c r="J5" s="163">
        <v>8</v>
      </c>
    </row>
    <row r="6" spans="1:10" ht="19.95" customHeight="1">
      <c r="A6" s="94">
        <v>1</v>
      </c>
      <c r="B6" s="37" t="s">
        <v>45</v>
      </c>
      <c r="C6" s="38"/>
      <c r="D6" s="95"/>
      <c r="E6" s="42"/>
      <c r="F6" s="39">
        <f>SUM(F7:F18)</f>
        <v>115301.59039793473</v>
      </c>
    </row>
    <row r="7" spans="1:10" ht="19.95" customHeight="1">
      <c r="A7" s="96"/>
      <c r="B7" s="40" t="s">
        <v>55</v>
      </c>
      <c r="C7" s="38" t="s">
        <v>46</v>
      </c>
      <c r="D7" s="142">
        <f>HLOOKUP(B7,'Estimativa de horas por produto'!$F$33:$P$46,11,0)</f>
        <v>58.666666666666664</v>
      </c>
      <c r="E7" s="148">
        <f>VLOOKUP(B7,'Custo mao de obra Dnit'!A:AB,28,0)</f>
        <v>49.84170454545454</v>
      </c>
      <c r="F7" s="36">
        <f t="shared" ref="F7:F17" si="0">D7*E7</f>
        <v>2924.0466666666662</v>
      </c>
      <c r="H7" s="97"/>
    </row>
    <row r="8" spans="1:10" ht="19.95" customHeight="1">
      <c r="A8" s="96"/>
      <c r="B8" s="40" t="s">
        <v>56</v>
      </c>
      <c r="C8" s="38" t="s">
        <v>46</v>
      </c>
      <c r="D8" s="142">
        <f>HLOOKUP(B8,'Estimativa de horas por produto'!$F$33:$P$46,11,0)</f>
        <v>29.333333333333332</v>
      </c>
      <c r="E8" s="148">
        <f>VLOOKUP(B8,'Custo mao de obra Dnit'!A:AB,28,0)</f>
        <v>65.018465909090907</v>
      </c>
      <c r="F8" s="36">
        <f t="shared" si="0"/>
        <v>1907.2083333333333</v>
      </c>
    </row>
    <row r="9" spans="1:10" ht="19.95" customHeight="1">
      <c r="A9" s="96"/>
      <c r="B9" s="40" t="s">
        <v>57</v>
      </c>
      <c r="C9" s="38" t="s">
        <v>46</v>
      </c>
      <c r="D9" s="142">
        <f>HLOOKUP(B9,'Estimativa de horas por produto'!$F$33:$P$46,11,0)</f>
        <v>29.333333333333332</v>
      </c>
      <c r="E9" s="148">
        <f>VLOOKUP(B9,'Custo mao de obra Dnit'!A:AB,28,0)</f>
        <v>75.596358262926245</v>
      </c>
      <c r="F9" s="36">
        <f t="shared" si="0"/>
        <v>2217.4931757125032</v>
      </c>
    </row>
    <row r="10" spans="1:10" ht="19.95" customHeight="1">
      <c r="A10" s="96"/>
      <c r="B10" s="40" t="s">
        <v>58</v>
      </c>
      <c r="C10" s="38" t="s">
        <v>46</v>
      </c>
      <c r="D10" s="142">
        <f>HLOOKUP(B10,'Estimativa de horas por produto'!$F$33:$P$46,11,0)</f>
        <v>78.222222222222214</v>
      </c>
      <c r="E10" s="148">
        <f>VLOOKUP(B10,'Custo mao de obra Dnit'!A:AB,28,0)</f>
        <v>53.100624999999994</v>
      </c>
      <c r="F10" s="36">
        <f t="shared" si="0"/>
        <v>4153.648888888888</v>
      </c>
    </row>
    <row r="11" spans="1:10" ht="19.95" customHeight="1">
      <c r="A11" s="96"/>
      <c r="B11" s="40" t="s">
        <v>59</v>
      </c>
      <c r="C11" s="38" t="s">
        <v>46</v>
      </c>
      <c r="D11" s="142">
        <f>HLOOKUP(B11,'Estimativa de horas por produto'!$F$33:$P$46,11,0)</f>
        <v>136.88888888888889</v>
      </c>
      <c r="E11" s="148">
        <f>VLOOKUP(B11,'Custo mao de obra Dnit'!A:AB,28,0)</f>
        <v>121.47482954545454</v>
      </c>
      <c r="F11" s="36">
        <f>D11*E11</f>
        <v>16628.554444444442</v>
      </c>
    </row>
    <row r="12" spans="1:10" ht="19.95" customHeight="1">
      <c r="A12" s="96"/>
      <c r="B12" s="40" t="s">
        <v>60</v>
      </c>
      <c r="C12" s="38" t="s">
        <v>46</v>
      </c>
      <c r="D12" s="142">
        <f>HLOOKUP(B12,'Estimativa de horas por produto'!$F$33:$P$46,11,0)</f>
        <v>88</v>
      </c>
      <c r="E12" s="148">
        <f>VLOOKUP(B12,'Custo mao de obra Dnit'!A:AB,28,0)</f>
        <v>45.856761363636366</v>
      </c>
      <c r="F12" s="36">
        <f t="shared" si="0"/>
        <v>4035.3950000000004</v>
      </c>
    </row>
    <row r="13" spans="1:10" ht="19.95" customHeight="1">
      <c r="A13" s="96"/>
      <c r="B13" s="40" t="s">
        <v>61</v>
      </c>
      <c r="C13" s="38" t="s">
        <v>46</v>
      </c>
      <c r="D13" s="142">
        <f>HLOOKUP(B13,'Estimativa de horas por produto'!$F$33:$P$46,11,0)</f>
        <v>29.333333333333332</v>
      </c>
      <c r="E13" s="148">
        <f>VLOOKUP(B13,'Custo mao de obra Dnit'!A:AB,28,0)</f>
        <v>95.24392045454546</v>
      </c>
      <c r="F13" s="36">
        <f t="shared" si="0"/>
        <v>2793.8216666666667</v>
      </c>
    </row>
    <row r="14" spans="1:10" ht="19.95" customHeight="1">
      <c r="A14" s="96"/>
      <c r="B14" s="40" t="s">
        <v>62</v>
      </c>
      <c r="C14" s="38" t="s">
        <v>46</v>
      </c>
      <c r="D14" s="142">
        <f>HLOOKUP(B14,'Estimativa de horas por produto'!$F$33:$P$46,11,0)</f>
        <v>88</v>
      </c>
      <c r="E14" s="148">
        <f>VLOOKUP(B14,'Custo mao de obra Dnit'!A:AB,28,0)</f>
        <v>95.230852272727276</v>
      </c>
      <c r="F14" s="36">
        <f t="shared" si="0"/>
        <v>8380.3150000000005</v>
      </c>
    </row>
    <row r="15" spans="1:10" ht="19.95" customHeight="1">
      <c r="A15" s="96"/>
      <c r="B15" s="40" t="s">
        <v>63</v>
      </c>
      <c r="C15" s="38" t="s">
        <v>46</v>
      </c>
      <c r="D15" s="142">
        <f>HLOOKUP(B15,'Estimativa de horas por produto'!$F$33:$P$46,11,0)</f>
        <v>88</v>
      </c>
      <c r="E15" s="148">
        <f>VLOOKUP(B15,'Custo mao de obra Dnit'!A:AB,28,0)</f>
        <v>107.9440909090909</v>
      </c>
      <c r="F15" s="36">
        <f t="shared" si="0"/>
        <v>9499.08</v>
      </c>
    </row>
    <row r="16" spans="1:10" ht="19.95" customHeight="1">
      <c r="A16" s="96"/>
      <c r="B16" s="40" t="s">
        <v>64</v>
      </c>
      <c r="C16" s="38" t="s">
        <v>46</v>
      </c>
      <c r="D16" s="142">
        <f>HLOOKUP(B16,'Estimativa de horas por produto'!$F$33:$P$46,11,0)</f>
        <v>459.55555555555554</v>
      </c>
      <c r="E16" s="148">
        <f>VLOOKUP(B16,'Custo mao de obra Dnit'!A:AB,28,0)</f>
        <v>95.230852272727276</v>
      </c>
      <c r="F16" s="36">
        <f t="shared" si="0"/>
        <v>43763.867222222223</v>
      </c>
    </row>
    <row r="17" spans="1:11" ht="19.95" customHeight="1">
      <c r="A17" s="96"/>
      <c r="B17" s="40" t="s">
        <v>65</v>
      </c>
      <c r="C17" s="38" t="s">
        <v>46</v>
      </c>
      <c r="D17" s="142">
        <f>HLOOKUP(B17,'Estimativa de horas por produto'!$F$33:$P$46,11,0)</f>
        <v>176</v>
      </c>
      <c r="E17" s="148">
        <f>VLOOKUP(B17,'Custo mao de obra Dnit'!A:AB,28,0)</f>
        <v>107.9440909090909</v>
      </c>
      <c r="F17" s="36">
        <f t="shared" si="0"/>
        <v>18998.16</v>
      </c>
    </row>
    <row r="18" spans="1:11" ht="19.95" customHeight="1">
      <c r="A18" s="96"/>
      <c r="B18" s="40"/>
      <c r="C18" s="38"/>
      <c r="D18" s="142"/>
      <c r="E18" s="148"/>
      <c r="F18" s="36"/>
    </row>
    <row r="19" spans="1:11" ht="19.95" customHeight="1">
      <c r="A19" s="94">
        <v>2</v>
      </c>
      <c r="B19" s="37" t="s">
        <v>201</v>
      </c>
      <c r="C19" s="99"/>
      <c r="D19" s="95"/>
      <c r="E19" s="45"/>
      <c r="F19" s="39">
        <f>SUM(F20:F22)</f>
        <v>50236.902936380167</v>
      </c>
    </row>
    <row r="20" spans="1:11" s="101" customFormat="1" ht="19.95" customHeight="1">
      <c r="A20" s="34"/>
      <c r="B20" s="239" t="s">
        <v>242</v>
      </c>
      <c r="C20" s="220" t="s">
        <v>19</v>
      </c>
      <c r="D20" s="98">
        <f>$F$6</f>
        <v>115301.59039793473</v>
      </c>
      <c r="E20" s="225">
        <f>'Custos diversos e BDI - DNIT'!$D$30/100</f>
        <v>0.11110000000000002</v>
      </c>
      <c r="F20" s="36">
        <f>D20*E20</f>
        <v>12810.006693210551</v>
      </c>
    </row>
    <row r="21" spans="1:11" s="101" customFormat="1" ht="19.95" customHeight="1">
      <c r="A21" s="34"/>
      <c r="B21" s="239" t="s">
        <v>224</v>
      </c>
      <c r="C21" s="220" t="s">
        <v>19</v>
      </c>
      <c r="D21" s="221">
        <f t="shared" ref="D21:D22" si="1">$F$6</f>
        <v>115301.59039793473</v>
      </c>
      <c r="E21" s="252">
        <f>'Custos diversos e BDI - DNIT'!$D$33/100</f>
        <v>0.12</v>
      </c>
      <c r="F21" s="236">
        <f t="shared" ref="F21:F22" si="2">D21*E21</f>
        <v>13836.190847752168</v>
      </c>
    </row>
    <row r="22" spans="1:11" s="101" customFormat="1" ht="19.95" customHeight="1">
      <c r="A22" s="34"/>
      <c r="B22" s="239" t="s">
        <v>225</v>
      </c>
      <c r="C22" s="220" t="s">
        <v>19</v>
      </c>
      <c r="D22" s="221">
        <f t="shared" si="1"/>
        <v>115301.59039793473</v>
      </c>
      <c r="E22" s="252">
        <f>'Custos diversos e BDI - DNIT'!$D$38/100</f>
        <v>0.2046</v>
      </c>
      <c r="F22" s="236">
        <f t="shared" si="2"/>
        <v>23590.705395417448</v>
      </c>
    </row>
    <row r="23" spans="1:11" s="101" customFormat="1" ht="19.95" customHeight="1">
      <c r="A23" s="34"/>
      <c r="B23" s="40"/>
      <c r="C23" s="49"/>
      <c r="D23" s="98"/>
      <c r="E23" s="222"/>
      <c r="F23" s="39"/>
    </row>
    <row r="24" spans="1:11" s="101" customFormat="1" ht="19.95" customHeight="1">
      <c r="A24" s="34"/>
      <c r="B24" s="40"/>
      <c r="C24" s="49"/>
      <c r="D24" s="98"/>
      <c r="E24" s="222"/>
      <c r="F24" s="36"/>
    </row>
    <row r="25" spans="1:11" s="101" customFormat="1" ht="19.95" customHeight="1">
      <c r="A25" s="102">
        <v>3</v>
      </c>
      <c r="B25" s="103" t="s">
        <v>10</v>
      </c>
      <c r="C25" s="104" t="s">
        <v>46</v>
      </c>
      <c r="D25" s="105">
        <f>SUM(D7:D17)</f>
        <v>1261.3333333333335</v>
      </c>
      <c r="E25" s="150">
        <f>'Custo Gerencial'!$G$48</f>
        <v>39.25</v>
      </c>
      <c r="F25" s="106">
        <f>D25*E25</f>
        <v>49507.333333333336</v>
      </c>
    </row>
    <row r="26" spans="1:11" s="101" customFormat="1" ht="19.95" customHeight="1">
      <c r="A26" s="34"/>
      <c r="B26" s="40"/>
      <c r="C26" s="49"/>
      <c r="D26" s="98"/>
      <c r="E26" s="222"/>
      <c r="F26" s="36"/>
    </row>
    <row r="27" spans="1:11" s="101" customFormat="1" ht="19.95" customHeight="1" thickBot="1">
      <c r="A27" s="107"/>
      <c r="B27" s="108" t="s">
        <v>73</v>
      </c>
      <c r="C27" s="109" t="s">
        <v>21</v>
      </c>
      <c r="D27" s="110">
        <v>1</v>
      </c>
      <c r="E27" s="223">
        <f>F5</f>
        <v>215045.82666764825</v>
      </c>
      <c r="F27" s="112">
        <f>E27*D27</f>
        <v>215045.82666764825</v>
      </c>
      <c r="H27" s="113"/>
      <c r="I27" s="113"/>
      <c r="J27" s="113"/>
      <c r="K27" s="113"/>
    </row>
    <row r="28" spans="1:11" ht="19.95" customHeight="1" thickBot="1">
      <c r="A28" s="114"/>
      <c r="B28" s="114"/>
      <c r="C28" s="114"/>
      <c r="D28" s="114"/>
      <c r="E28" s="224"/>
      <c r="F28" s="114"/>
      <c r="H28" s="115"/>
      <c r="I28" s="115"/>
      <c r="J28" s="115"/>
      <c r="K28" s="115"/>
    </row>
    <row r="29" spans="1:11" ht="29.25" customHeight="1">
      <c r="A29" s="90" t="s">
        <v>37</v>
      </c>
      <c r="B29" s="335" t="s">
        <v>68</v>
      </c>
      <c r="C29" s="335"/>
      <c r="D29" s="335"/>
      <c r="E29" s="335"/>
      <c r="F29" s="336"/>
    </row>
    <row r="30" spans="1:11" ht="19.95" customHeight="1">
      <c r="A30" s="91" t="s">
        <v>3</v>
      </c>
      <c r="B30" s="92" t="s">
        <v>5</v>
      </c>
      <c r="C30" s="92" t="s">
        <v>6</v>
      </c>
      <c r="D30" s="92" t="s">
        <v>7</v>
      </c>
      <c r="E30" s="92" t="s">
        <v>40</v>
      </c>
      <c r="F30" s="93" t="s">
        <v>41</v>
      </c>
    </row>
    <row r="31" spans="1:11" ht="19.95" customHeight="1">
      <c r="A31" s="94"/>
      <c r="B31" s="37" t="str">
        <f>B29</f>
        <v>AJUSTES DE DOCUMENTOS APÓS AUDIÊNCIA PÚBLICA DOS PROJETOS DE CONCESSÃO E PRORROGAÇÕES ANTECIPADAS</v>
      </c>
      <c r="C31" s="38"/>
      <c r="D31" s="95"/>
      <c r="E31" s="42"/>
      <c r="F31" s="39">
        <f>F32+F45+F50</f>
        <v>200964.09219161133</v>
      </c>
    </row>
    <row r="32" spans="1:11" ht="19.95" customHeight="1">
      <c r="A32" s="94">
        <v>1</v>
      </c>
      <c r="B32" s="37" t="s">
        <v>45</v>
      </c>
      <c r="C32" s="38"/>
      <c r="D32" s="95"/>
      <c r="E32" s="42"/>
      <c r="F32" s="39">
        <f>SUM(F33:F44)</f>
        <v>105226.00897158196</v>
      </c>
    </row>
    <row r="33" spans="1:6" ht="19.95" customHeight="1">
      <c r="A33" s="96"/>
      <c r="B33" s="40" t="s">
        <v>55</v>
      </c>
      <c r="C33" s="38" t="s">
        <v>46</v>
      </c>
      <c r="D33" s="142">
        <f>HLOOKUP(B33,'Estimativa de horas por produto'!$F$33:$P$46,12,0)</f>
        <v>176</v>
      </c>
      <c r="E33" s="148">
        <f>VLOOKUP(B33,'Custo mao de obra Dnit'!A:AB,28,0)</f>
        <v>49.84170454545454</v>
      </c>
      <c r="F33" s="143">
        <f t="shared" ref="F33:F43" si="3">D33*E33</f>
        <v>8772.14</v>
      </c>
    </row>
    <row r="34" spans="1:6" ht="19.95" customHeight="1">
      <c r="A34" s="96"/>
      <c r="B34" s="40" t="s">
        <v>56</v>
      </c>
      <c r="C34" s="38" t="s">
        <v>46</v>
      </c>
      <c r="D34" s="142">
        <f>HLOOKUP(B34,'Estimativa de horas por produto'!$F$33:$P$46,12,0)</f>
        <v>88</v>
      </c>
      <c r="E34" s="148">
        <f>VLOOKUP(B34,'Custo mao de obra Dnit'!A:AB,28,0)</f>
        <v>65.018465909090907</v>
      </c>
      <c r="F34" s="143">
        <f t="shared" si="3"/>
        <v>5721.625</v>
      </c>
    </row>
    <row r="35" spans="1:6" ht="19.95" customHeight="1">
      <c r="A35" s="96"/>
      <c r="B35" s="40" t="s">
        <v>57</v>
      </c>
      <c r="C35" s="38" t="s">
        <v>46</v>
      </c>
      <c r="D35" s="142">
        <f>HLOOKUP(B35,'Estimativa de horas por produto'!$F$33:$P$46,12,0)</f>
        <v>88</v>
      </c>
      <c r="E35" s="148">
        <f>VLOOKUP(B35,'Custo mao de obra Dnit'!A:AB,28,0)</f>
        <v>75.596358262926245</v>
      </c>
      <c r="F35" s="143">
        <f t="shared" si="3"/>
        <v>6652.4795271375096</v>
      </c>
    </row>
    <row r="36" spans="1:6" ht="19.95" customHeight="1">
      <c r="A36" s="96"/>
      <c r="B36" s="40" t="s">
        <v>58</v>
      </c>
      <c r="C36" s="38" t="s">
        <v>46</v>
      </c>
      <c r="D36" s="142">
        <f>HLOOKUP(B36,'Estimativa de horas por produto'!$F$33:$P$46,12,0)</f>
        <v>127.11111111111111</v>
      </c>
      <c r="E36" s="148">
        <f>VLOOKUP(B36,'Custo mao de obra Dnit'!A:AB,28,0)</f>
        <v>53.100624999999994</v>
      </c>
      <c r="F36" s="143">
        <f t="shared" si="3"/>
        <v>6749.679444444444</v>
      </c>
    </row>
    <row r="37" spans="1:6" ht="19.95" customHeight="1">
      <c r="A37" s="96"/>
      <c r="B37" s="40" t="s">
        <v>59</v>
      </c>
      <c r="C37" s="38" t="s">
        <v>46</v>
      </c>
      <c r="D37" s="142">
        <f>HLOOKUP(B37,'Estimativa de horas por produto'!$F$33:$P$46,12,0)</f>
        <v>97.777777777777786</v>
      </c>
      <c r="E37" s="148">
        <f>VLOOKUP(B37,'Custo mao de obra Dnit'!A:AB,28,0)</f>
        <v>121.47482954545454</v>
      </c>
      <c r="F37" s="143">
        <f t="shared" si="3"/>
        <v>11877.53888888889</v>
      </c>
    </row>
    <row r="38" spans="1:6" ht="19.95" customHeight="1">
      <c r="A38" s="96"/>
      <c r="B38" s="40" t="s">
        <v>60</v>
      </c>
      <c r="C38" s="38" t="s">
        <v>46</v>
      </c>
      <c r="D38" s="142">
        <f>HLOOKUP(B38,'Estimativa de horas por produto'!$F$33:$P$46,12,0)</f>
        <v>58.666666666666664</v>
      </c>
      <c r="E38" s="148">
        <f>VLOOKUP(B38,'Custo mao de obra Dnit'!A:AB,28,0)</f>
        <v>45.856761363636366</v>
      </c>
      <c r="F38" s="143">
        <f t="shared" si="3"/>
        <v>2690.2633333333333</v>
      </c>
    </row>
    <row r="39" spans="1:6" ht="19.95" customHeight="1">
      <c r="A39" s="96"/>
      <c r="B39" s="40" t="s">
        <v>61</v>
      </c>
      <c r="C39" s="38" t="s">
        <v>46</v>
      </c>
      <c r="D39" s="142">
        <f>HLOOKUP(B39,'Estimativa de horas por produto'!$F$33:$P$46,12,0)</f>
        <v>19.555555555555554</v>
      </c>
      <c r="E39" s="148">
        <f>VLOOKUP(B39,'Custo mao de obra Dnit'!A:AB,28,0)</f>
        <v>95.24392045454546</v>
      </c>
      <c r="F39" s="143">
        <f t="shared" si="3"/>
        <v>1862.5477777777778</v>
      </c>
    </row>
    <row r="40" spans="1:6" ht="19.95" customHeight="1">
      <c r="A40" s="96"/>
      <c r="B40" s="40" t="s">
        <v>62</v>
      </c>
      <c r="C40" s="38" t="s">
        <v>46</v>
      </c>
      <c r="D40" s="142">
        <f>HLOOKUP(B40,'Estimativa de horas por produto'!$F$33:$P$46,12,0)</f>
        <v>58.666666666666664</v>
      </c>
      <c r="E40" s="148">
        <f>VLOOKUP(B40,'Custo mao de obra Dnit'!A:AB,28,0)</f>
        <v>95.230852272727276</v>
      </c>
      <c r="F40" s="143">
        <f t="shared" si="3"/>
        <v>5586.876666666667</v>
      </c>
    </row>
    <row r="41" spans="1:6" ht="19.95" customHeight="1">
      <c r="A41" s="96"/>
      <c r="B41" s="40" t="s">
        <v>63</v>
      </c>
      <c r="C41" s="38" t="s">
        <v>46</v>
      </c>
      <c r="D41" s="142">
        <f>HLOOKUP(B41,'Estimativa de horas por produto'!$F$33:$P$46,12,0)</f>
        <v>58.666666666666664</v>
      </c>
      <c r="E41" s="148">
        <f>VLOOKUP(B41,'Custo mao de obra Dnit'!A:AB,28,0)</f>
        <v>107.9440909090909</v>
      </c>
      <c r="F41" s="143">
        <f t="shared" si="3"/>
        <v>6332.7199999999993</v>
      </c>
    </row>
    <row r="42" spans="1:6" ht="19.95" customHeight="1">
      <c r="A42" s="96"/>
      <c r="B42" s="40" t="s">
        <v>64</v>
      </c>
      <c r="C42" s="38" t="s">
        <v>46</v>
      </c>
      <c r="D42" s="142">
        <f>HLOOKUP(B42,'Estimativa de horas por produto'!$F$33:$P$46,12,0)</f>
        <v>381.33333333333331</v>
      </c>
      <c r="E42" s="148">
        <f>VLOOKUP(B42,'Custo mao de obra Dnit'!A:AB,28,0)</f>
        <v>95.230852272727276</v>
      </c>
      <c r="F42" s="143">
        <f t="shared" si="3"/>
        <v>36314.698333333334</v>
      </c>
    </row>
    <row r="43" spans="1:6" ht="19.95" customHeight="1">
      <c r="A43" s="96"/>
      <c r="B43" s="40" t="s">
        <v>65</v>
      </c>
      <c r="C43" s="38" t="s">
        <v>46</v>
      </c>
      <c r="D43" s="142">
        <f>HLOOKUP(B43,'Estimativa de horas por produto'!$F$33:$P$46,12,0)</f>
        <v>117.33333333333333</v>
      </c>
      <c r="E43" s="148">
        <f>VLOOKUP(B43,'Custo mao de obra Dnit'!A:AB,28,0)</f>
        <v>107.9440909090909</v>
      </c>
      <c r="F43" s="143">
        <f t="shared" si="3"/>
        <v>12665.439999999999</v>
      </c>
    </row>
    <row r="44" spans="1:6" ht="19.95" customHeight="1">
      <c r="A44" s="96"/>
      <c r="B44" s="40"/>
      <c r="C44" s="38"/>
      <c r="D44" s="142"/>
      <c r="E44" s="148"/>
      <c r="F44" s="143"/>
    </row>
    <row r="45" spans="1:6" ht="19.95" customHeight="1">
      <c r="A45" s="242">
        <v>2</v>
      </c>
      <c r="B45" s="237" t="s">
        <v>201</v>
      </c>
      <c r="C45" s="245"/>
      <c r="D45" s="243"/>
      <c r="E45" s="45"/>
      <c r="F45" s="238">
        <f>SUM(F46:F48)</f>
        <v>45846.972108918264</v>
      </c>
    </row>
    <row r="46" spans="1:6" s="101" customFormat="1" ht="19.95" customHeight="1">
      <c r="A46" s="234"/>
      <c r="B46" s="239" t="s">
        <v>223</v>
      </c>
      <c r="C46" s="240" t="s">
        <v>19</v>
      </c>
      <c r="D46" s="244">
        <f>$F$32</f>
        <v>105226.00897158196</v>
      </c>
      <c r="E46" s="252">
        <f>'Custos diversos e BDI - DNIT'!$D$30/100</f>
        <v>0.11110000000000002</v>
      </c>
      <c r="F46" s="236">
        <f>D46*E46</f>
        <v>11690.609596742757</v>
      </c>
    </row>
    <row r="47" spans="1:6" s="101" customFormat="1" ht="19.95" customHeight="1">
      <c r="A47" s="234"/>
      <c r="B47" s="239" t="s">
        <v>224</v>
      </c>
      <c r="C47" s="240" t="s">
        <v>19</v>
      </c>
      <c r="D47" s="244">
        <f t="shared" ref="D47:D48" si="4">$F$32</f>
        <v>105226.00897158196</v>
      </c>
      <c r="E47" s="252">
        <f>'Custos diversos e BDI - DNIT'!$D$33/100</f>
        <v>0.12</v>
      </c>
      <c r="F47" s="236">
        <f t="shared" ref="F47:F48" si="5">D47*E47</f>
        <v>12627.121076589836</v>
      </c>
    </row>
    <row r="48" spans="1:6" s="101" customFormat="1" ht="19.95" customHeight="1">
      <c r="A48" s="234"/>
      <c r="B48" s="239" t="s">
        <v>225</v>
      </c>
      <c r="C48" s="240" t="s">
        <v>19</v>
      </c>
      <c r="D48" s="244">
        <f t="shared" si="4"/>
        <v>105226.00897158196</v>
      </c>
      <c r="E48" s="252">
        <f>'Custos diversos e BDI - DNIT'!$D$38/100</f>
        <v>0.2046</v>
      </c>
      <c r="F48" s="236">
        <f t="shared" si="5"/>
        <v>21529.241435585671</v>
      </c>
    </row>
    <row r="49" spans="1:6" s="101" customFormat="1" ht="19.95" customHeight="1">
      <c r="A49" s="234"/>
      <c r="B49" s="239"/>
      <c r="C49" s="49"/>
      <c r="D49" s="244"/>
      <c r="E49" s="246"/>
      <c r="F49" s="238"/>
    </row>
    <row r="50" spans="1:6" s="101" customFormat="1" ht="19.95" customHeight="1">
      <c r="A50" s="102">
        <v>3</v>
      </c>
      <c r="B50" s="103" t="s">
        <v>10</v>
      </c>
      <c r="C50" s="104" t="s">
        <v>46</v>
      </c>
      <c r="D50" s="105">
        <f>SUM(D33:D43)</f>
        <v>1271.1111111111109</v>
      </c>
      <c r="E50" s="150">
        <f>'Custo Gerencial'!$G$48</f>
        <v>39.25</v>
      </c>
      <c r="F50" s="106">
        <f>D50*E50</f>
        <v>49891.111111111102</v>
      </c>
    </row>
    <row r="51" spans="1:6" s="101" customFormat="1" ht="19.95" customHeight="1">
      <c r="A51" s="34"/>
      <c r="B51" s="40"/>
      <c r="C51" s="49"/>
      <c r="D51" s="98"/>
      <c r="E51" s="100"/>
      <c r="F51" s="36"/>
    </row>
    <row r="52" spans="1:6" s="101" customFormat="1" ht="19.95" customHeight="1" thickBot="1">
      <c r="A52" s="107"/>
      <c r="B52" s="247" t="s">
        <v>73</v>
      </c>
      <c r="C52" s="109" t="s">
        <v>21</v>
      </c>
      <c r="D52" s="110">
        <v>1</v>
      </c>
      <c r="E52" s="111">
        <f>F31</f>
        <v>200964.09219161133</v>
      </c>
      <c r="F52" s="112">
        <f>E52*D52</f>
        <v>200964.09219161133</v>
      </c>
    </row>
    <row r="53" spans="1:6" ht="19.95" customHeight="1" thickBot="1">
      <c r="A53" s="114"/>
      <c r="B53" s="114"/>
      <c r="C53" s="114"/>
      <c r="D53" s="114"/>
      <c r="E53" s="114"/>
      <c r="F53" s="114"/>
    </row>
    <row r="54" spans="1:6" ht="31.5" customHeight="1">
      <c r="A54" s="90" t="s">
        <v>48</v>
      </c>
      <c r="B54" s="335" t="s">
        <v>70</v>
      </c>
      <c r="C54" s="335"/>
      <c r="D54" s="335"/>
      <c r="E54" s="335"/>
      <c r="F54" s="336"/>
    </row>
    <row r="55" spans="1:6" ht="19.95" customHeight="1">
      <c r="A55" s="91" t="s">
        <v>3</v>
      </c>
      <c r="B55" s="92" t="s">
        <v>5</v>
      </c>
      <c r="C55" s="92" t="s">
        <v>6</v>
      </c>
      <c r="D55" s="92" t="s">
        <v>7</v>
      </c>
      <c r="E55" s="92" t="s">
        <v>40</v>
      </c>
      <c r="F55" s="93" t="s">
        <v>41</v>
      </c>
    </row>
    <row r="56" spans="1:6" ht="19.95" customHeight="1">
      <c r="A56" s="94"/>
      <c r="B56" s="37" t="str">
        <f>B54</f>
        <v>AJUSTES DE DOCUMENTOS DURANTE E APÓS ANÁLISE PELO TRIBUNAL DE CONTAS DA UNIÃO DOS PROJETOS DE CONCESSÃO E PRORROGAÇÕES ANTECIPADAS</v>
      </c>
      <c r="C56" s="38"/>
      <c r="D56" s="95"/>
      <c r="E56" s="42"/>
      <c r="F56" s="39">
        <f>F57+F70+F75</f>
        <v>117058.25827896311</v>
      </c>
    </row>
    <row r="57" spans="1:6" ht="19.95" customHeight="1">
      <c r="A57" s="94">
        <v>1</v>
      </c>
      <c r="B57" s="37" t="s">
        <v>45</v>
      </c>
      <c r="C57" s="38"/>
      <c r="D57" s="95"/>
      <c r="E57" s="42"/>
      <c r="F57" s="39">
        <f>SUM(F58:F69)</f>
        <v>60951.013018091682</v>
      </c>
    </row>
    <row r="58" spans="1:6" ht="19.95" customHeight="1">
      <c r="A58" s="96"/>
      <c r="B58" s="40" t="s">
        <v>55</v>
      </c>
      <c r="C58" s="38" t="s">
        <v>46</v>
      </c>
      <c r="D58" s="142">
        <f>HLOOKUP(B58,'Estimativa de horas por produto'!$F$33:$P$46,13,0)</f>
        <v>117.33333333333333</v>
      </c>
      <c r="E58" s="148">
        <f>VLOOKUP(B58,'Custo mao de obra Dnit'!A:AB,28,0)</f>
        <v>49.84170454545454</v>
      </c>
      <c r="F58" s="36">
        <f>D58*E58</f>
        <v>5848.0933333333323</v>
      </c>
    </row>
    <row r="59" spans="1:6" ht="19.95" customHeight="1">
      <c r="A59" s="96"/>
      <c r="B59" s="40" t="s">
        <v>56</v>
      </c>
      <c r="C59" s="38" t="s">
        <v>46</v>
      </c>
      <c r="D59" s="142">
        <f>HLOOKUP(B59,'Estimativa de horas por produto'!$F$33:$P$46,13,0)</f>
        <v>58.666666666666664</v>
      </c>
      <c r="E59" s="148">
        <f>VLOOKUP(B59,'Custo mao de obra Dnit'!A:AB,28,0)</f>
        <v>65.018465909090907</v>
      </c>
      <c r="F59" s="36">
        <f t="shared" ref="F59:F68" si="6">D59*E59</f>
        <v>3814.4166666666665</v>
      </c>
    </row>
    <row r="60" spans="1:6" ht="19.95" customHeight="1">
      <c r="A60" s="96"/>
      <c r="B60" s="40" t="s">
        <v>57</v>
      </c>
      <c r="C60" s="38" t="s">
        <v>46</v>
      </c>
      <c r="D60" s="142">
        <f>HLOOKUP(B60,'Estimativa de horas por produto'!$F$33:$P$46,13,0)</f>
        <v>58.666666666666664</v>
      </c>
      <c r="E60" s="148">
        <f>VLOOKUP(B60,'Custo mao de obra Dnit'!A:AB,28,0)</f>
        <v>75.596358262926245</v>
      </c>
      <c r="F60" s="36">
        <f t="shared" si="6"/>
        <v>4434.9863514250064</v>
      </c>
    </row>
    <row r="61" spans="1:6" ht="19.95" customHeight="1">
      <c r="A61" s="96"/>
      <c r="B61" s="40" t="s">
        <v>58</v>
      </c>
      <c r="C61" s="38" t="s">
        <v>46</v>
      </c>
      <c r="D61" s="142">
        <f>HLOOKUP(B61,'Estimativa de horas por produto'!$F$33:$P$46,13,0)</f>
        <v>88</v>
      </c>
      <c r="E61" s="148">
        <f>VLOOKUP(B61,'Custo mao de obra Dnit'!A:AB,28,0)</f>
        <v>53.100624999999994</v>
      </c>
      <c r="F61" s="36">
        <f t="shared" si="6"/>
        <v>4672.8549999999996</v>
      </c>
    </row>
    <row r="62" spans="1:6" ht="19.95" customHeight="1">
      <c r="A62" s="96"/>
      <c r="B62" s="40" t="s">
        <v>59</v>
      </c>
      <c r="C62" s="38" t="s">
        <v>46</v>
      </c>
      <c r="D62" s="142">
        <f>HLOOKUP(B62,'Estimativa de horas por produto'!$F$33:$P$46,13,0)</f>
        <v>58.666666666666664</v>
      </c>
      <c r="E62" s="148">
        <f>VLOOKUP(B62,'Custo mao de obra Dnit'!A:AB,28,0)</f>
        <v>121.47482954545454</v>
      </c>
      <c r="F62" s="36">
        <f t="shared" si="6"/>
        <v>7126.5233333333326</v>
      </c>
    </row>
    <row r="63" spans="1:6" ht="19.95" customHeight="1">
      <c r="A63" s="96"/>
      <c r="B63" s="40" t="s">
        <v>60</v>
      </c>
      <c r="C63" s="38" t="s">
        <v>46</v>
      </c>
      <c r="D63" s="142">
        <f>HLOOKUP(B63,'Estimativa de horas por produto'!$F$33:$P$46,13,0)</f>
        <v>29.333333333333332</v>
      </c>
      <c r="E63" s="148">
        <f>VLOOKUP(B63,'Custo mao de obra Dnit'!A:AB,28,0)</f>
        <v>45.856761363636366</v>
      </c>
      <c r="F63" s="36">
        <f t="shared" si="6"/>
        <v>1345.1316666666667</v>
      </c>
    </row>
    <row r="64" spans="1:6" ht="19.95" customHeight="1">
      <c r="A64" s="96"/>
      <c r="B64" s="40" t="s">
        <v>61</v>
      </c>
      <c r="C64" s="38" t="s">
        <v>46</v>
      </c>
      <c r="D64" s="142">
        <f>HLOOKUP(B64,'Estimativa de horas por produto'!$F$33:$P$46,13,0)</f>
        <v>9.7777777777777768</v>
      </c>
      <c r="E64" s="148">
        <f>VLOOKUP(B64,'Custo mao de obra Dnit'!A:AB,28,0)</f>
        <v>95.24392045454546</v>
      </c>
      <c r="F64" s="36">
        <f t="shared" si="6"/>
        <v>931.27388888888891</v>
      </c>
    </row>
    <row r="65" spans="1:6" ht="19.95" customHeight="1">
      <c r="A65" s="96"/>
      <c r="B65" s="40" t="s">
        <v>62</v>
      </c>
      <c r="C65" s="38" t="s">
        <v>46</v>
      </c>
      <c r="D65" s="142">
        <f>HLOOKUP(B65,'Estimativa de horas por produto'!$F$33:$P$46,13,0)</f>
        <v>29.333333333333332</v>
      </c>
      <c r="E65" s="148">
        <f>VLOOKUP(B65,'Custo mao de obra Dnit'!A:AB,28,0)</f>
        <v>95.230852272727276</v>
      </c>
      <c r="F65" s="36">
        <f t="shared" si="6"/>
        <v>2793.4383333333335</v>
      </c>
    </row>
    <row r="66" spans="1:6" ht="19.95" customHeight="1">
      <c r="A66" s="96"/>
      <c r="B66" s="40" t="s">
        <v>63</v>
      </c>
      <c r="C66" s="38" t="s">
        <v>46</v>
      </c>
      <c r="D66" s="142">
        <f>HLOOKUP(B66,'Estimativa de horas por produto'!$F$33:$P$46,13,0)</f>
        <v>29.333333333333332</v>
      </c>
      <c r="E66" s="148">
        <f>VLOOKUP(B66,'Custo mao de obra Dnit'!A:AB,28,0)</f>
        <v>107.9440909090909</v>
      </c>
      <c r="F66" s="36">
        <f t="shared" si="6"/>
        <v>3166.3599999999997</v>
      </c>
    </row>
    <row r="67" spans="1:6" ht="19.95" customHeight="1">
      <c r="A67" s="96"/>
      <c r="B67" s="40" t="s">
        <v>64</v>
      </c>
      <c r="C67" s="38" t="s">
        <v>46</v>
      </c>
      <c r="D67" s="142">
        <f>HLOOKUP(B67,'Estimativa de horas por produto'!$F$33:$P$46,13,0)</f>
        <v>215.11111111111114</v>
      </c>
      <c r="E67" s="148">
        <f>VLOOKUP(B67,'Custo mao de obra Dnit'!A:AB,28,0)</f>
        <v>95.230852272727276</v>
      </c>
      <c r="F67" s="36">
        <f t="shared" si="6"/>
        <v>20485.214444444449</v>
      </c>
    </row>
    <row r="68" spans="1:6" ht="19.95" customHeight="1">
      <c r="A68" s="96"/>
      <c r="B68" s="40" t="s">
        <v>65</v>
      </c>
      <c r="C68" s="38" t="s">
        <v>46</v>
      </c>
      <c r="D68" s="142">
        <f>HLOOKUP(B68,'Estimativa de horas por produto'!$F$33:$P$46,13,0)</f>
        <v>58.666666666666664</v>
      </c>
      <c r="E68" s="148">
        <f>VLOOKUP(B68,'Custo mao de obra Dnit'!A:AB,28,0)</f>
        <v>107.9440909090909</v>
      </c>
      <c r="F68" s="36">
        <f t="shared" si="6"/>
        <v>6332.7199999999993</v>
      </c>
    </row>
    <row r="69" spans="1:6" ht="19.95" customHeight="1">
      <c r="A69" s="96"/>
      <c r="B69" s="40"/>
      <c r="C69" s="38"/>
      <c r="D69" s="142"/>
      <c r="E69" s="148"/>
      <c r="F69" s="36"/>
    </row>
    <row r="70" spans="1:6" ht="19.95" customHeight="1">
      <c r="A70" s="242">
        <v>2</v>
      </c>
      <c r="B70" s="237" t="s">
        <v>201</v>
      </c>
      <c r="C70" s="245"/>
      <c r="D70" s="243"/>
      <c r="E70" s="45"/>
      <c r="F70" s="238">
        <f>SUM(F71:F73)</f>
        <v>26556.356371982547</v>
      </c>
    </row>
    <row r="71" spans="1:6" s="101" customFormat="1" ht="19.95" customHeight="1">
      <c r="A71" s="234"/>
      <c r="B71" s="239" t="s">
        <v>223</v>
      </c>
      <c r="C71" s="240" t="s">
        <v>19</v>
      </c>
      <c r="D71" s="244">
        <f>$F$57</f>
        <v>60951.013018091682</v>
      </c>
      <c r="E71" s="252">
        <f>'Custos diversos e BDI - DNIT'!$D$30/100</f>
        <v>0.11110000000000002</v>
      </c>
      <c r="F71" s="236">
        <f>D71*E71</f>
        <v>6771.6575463099871</v>
      </c>
    </row>
    <row r="72" spans="1:6" s="101" customFormat="1" ht="19.95" customHeight="1">
      <c r="A72" s="234"/>
      <c r="B72" s="239" t="s">
        <v>224</v>
      </c>
      <c r="C72" s="240" t="s">
        <v>19</v>
      </c>
      <c r="D72" s="244">
        <f t="shared" ref="D72:D73" si="7">$F$57</f>
        <v>60951.013018091682</v>
      </c>
      <c r="E72" s="252">
        <f>'Custos diversos e BDI - DNIT'!$D$33/100</f>
        <v>0.12</v>
      </c>
      <c r="F72" s="236">
        <f t="shared" ref="F72:F73" si="8">D72*E72</f>
        <v>7314.1215621710016</v>
      </c>
    </row>
    <row r="73" spans="1:6" s="101" customFormat="1" ht="19.95" customHeight="1">
      <c r="A73" s="234"/>
      <c r="B73" s="239" t="s">
        <v>225</v>
      </c>
      <c r="C73" s="240" t="s">
        <v>19</v>
      </c>
      <c r="D73" s="244">
        <f t="shared" si="7"/>
        <v>60951.013018091682</v>
      </c>
      <c r="E73" s="252">
        <f>'Custos diversos e BDI - DNIT'!$D$38/100</f>
        <v>0.2046</v>
      </c>
      <c r="F73" s="236">
        <f t="shared" si="8"/>
        <v>12470.577263501558</v>
      </c>
    </row>
    <row r="74" spans="1:6" s="101" customFormat="1" ht="19.95" customHeight="1">
      <c r="A74" s="34"/>
      <c r="B74" s="40"/>
      <c r="C74" s="49"/>
      <c r="D74" s="98"/>
      <c r="E74" s="149"/>
      <c r="F74" s="36"/>
    </row>
    <row r="75" spans="1:6" s="101" customFormat="1" ht="19.95" customHeight="1">
      <c r="A75" s="102" t="s">
        <v>47</v>
      </c>
      <c r="B75" s="103" t="s">
        <v>10</v>
      </c>
      <c r="C75" s="104" t="s">
        <v>46</v>
      </c>
      <c r="D75" s="105">
        <f>SUM(D58:D68)</f>
        <v>752.8888888888888</v>
      </c>
      <c r="E75" s="150">
        <f>'Custo Gerencial'!$G$48</f>
        <v>39.25</v>
      </c>
      <c r="F75" s="106">
        <f>D75*E75</f>
        <v>29550.888888888887</v>
      </c>
    </row>
    <row r="76" spans="1:6" s="101" customFormat="1" ht="19.95" customHeight="1">
      <c r="A76" s="34"/>
      <c r="B76" s="40"/>
      <c r="C76" s="49"/>
      <c r="D76" s="98"/>
      <c r="E76" s="100"/>
      <c r="F76" s="36"/>
    </row>
    <row r="77" spans="1:6" s="101" customFormat="1" ht="19.95" customHeight="1" thickBot="1">
      <c r="A77" s="107"/>
      <c r="B77" s="247" t="s">
        <v>73</v>
      </c>
      <c r="C77" s="109" t="s">
        <v>21</v>
      </c>
      <c r="D77" s="110">
        <v>1</v>
      </c>
      <c r="E77" s="111">
        <f>F56</f>
        <v>117058.25827896311</v>
      </c>
      <c r="F77" s="112">
        <f>E77*D77</f>
        <v>117058.25827896311</v>
      </c>
    </row>
    <row r="78" spans="1:6" ht="19.95" customHeight="1" thickBot="1">
      <c r="A78" s="114"/>
      <c r="B78" s="114"/>
      <c r="C78" s="114"/>
      <c r="D78" s="114"/>
      <c r="E78" s="114"/>
      <c r="F78" s="114"/>
    </row>
    <row r="79" spans="1:6" ht="19.5" customHeight="1">
      <c r="A79" s="90" t="s">
        <v>38</v>
      </c>
      <c r="B79" s="342" t="s">
        <v>71</v>
      </c>
      <c r="C79" s="342"/>
      <c r="D79" s="342"/>
      <c r="E79" s="342"/>
      <c r="F79" s="343"/>
    </row>
    <row r="80" spans="1:6" ht="19.95" customHeight="1">
      <c r="A80" s="91" t="s">
        <v>3</v>
      </c>
      <c r="B80" s="92" t="s">
        <v>5</v>
      </c>
      <c r="C80" s="92" t="s">
        <v>6</v>
      </c>
      <c r="D80" s="92" t="s">
        <v>7</v>
      </c>
      <c r="E80" s="92" t="s">
        <v>40</v>
      </c>
      <c r="F80" s="93" t="s">
        <v>41</v>
      </c>
    </row>
    <row r="81" spans="1:7" ht="19.95" customHeight="1">
      <c r="A81" s="94"/>
      <c r="B81" s="37" t="str">
        <f>B79</f>
        <v>ELABORAÇÃO DE CRONOGRAMA PARA GESTÃO DE PROJETOS DE CONCESSÃO E PRORROGAÇÕES ANTECIPADAS</v>
      </c>
      <c r="C81" s="38"/>
      <c r="D81" s="95"/>
      <c r="E81" s="42"/>
      <c r="F81" s="29">
        <f>F82+F86+F91</f>
        <v>8669.9765714075475</v>
      </c>
    </row>
    <row r="82" spans="1:7" ht="19.95" customHeight="1">
      <c r="A82" s="94">
        <v>1</v>
      </c>
      <c r="B82" s="37" t="s">
        <v>45</v>
      </c>
      <c r="C82" s="38"/>
      <c r="D82" s="95"/>
      <c r="E82" s="42"/>
      <c r="F82" s="39">
        <f>SUM(F83:F83)</f>
        <v>4434.9863514250064</v>
      </c>
    </row>
    <row r="83" spans="1:7" ht="19.95" customHeight="1">
      <c r="A83" s="96"/>
      <c r="B83" s="40" t="s">
        <v>57</v>
      </c>
      <c r="C83" s="38" t="s">
        <v>46</v>
      </c>
      <c r="D83" s="251">
        <f>HLOOKUP(B83,'Estimativa de horas por produto'!$F$33:$P$46,14,0)</f>
        <v>58.666666666666664</v>
      </c>
      <c r="E83" s="148">
        <f>VLOOKUP(B83,'Custo mao de obra Dnit'!A:AB,28,0)</f>
        <v>75.596358262926245</v>
      </c>
      <c r="F83" s="36">
        <f>D83*E83</f>
        <v>4434.9863514250064</v>
      </c>
    </row>
    <row r="84" spans="1:7" ht="19.95" customHeight="1">
      <c r="A84" s="96"/>
      <c r="B84" s="40"/>
      <c r="C84" s="38"/>
      <c r="D84" s="98"/>
      <c r="E84" s="49"/>
      <c r="F84" s="36"/>
    </row>
    <row r="85" spans="1:7" s="101" customFormat="1" ht="19.95" customHeight="1">
      <c r="A85" s="34"/>
      <c r="B85" s="40"/>
      <c r="C85" s="49"/>
      <c r="D85" s="98"/>
      <c r="E85" s="149"/>
      <c r="F85" s="36"/>
    </row>
    <row r="86" spans="1:7" ht="19.95" customHeight="1">
      <c r="A86" s="242">
        <v>2</v>
      </c>
      <c r="B86" s="237" t="s">
        <v>201</v>
      </c>
      <c r="C86" s="245"/>
      <c r="D86" s="243"/>
      <c r="E86" s="45"/>
      <c r="F86" s="238">
        <f>SUM(F87:F89)</f>
        <v>1932.3235533158754</v>
      </c>
    </row>
    <row r="87" spans="1:7" s="101" customFormat="1" ht="19.95" customHeight="1">
      <c r="A87" s="234"/>
      <c r="B87" s="239" t="s">
        <v>223</v>
      </c>
      <c r="C87" s="240" t="s">
        <v>19</v>
      </c>
      <c r="D87" s="244">
        <f>$F$82</f>
        <v>4434.9863514250064</v>
      </c>
      <c r="E87" s="252">
        <f>'Custos diversos e BDI - DNIT'!$D$30/100</f>
        <v>0.11110000000000002</v>
      </c>
      <c r="F87" s="236">
        <f>D87*E87</f>
        <v>492.72698364331831</v>
      </c>
    </row>
    <row r="88" spans="1:7" s="101" customFormat="1" ht="19.95" customHeight="1">
      <c r="A88" s="234"/>
      <c r="B88" s="239" t="s">
        <v>224</v>
      </c>
      <c r="C88" s="240" t="s">
        <v>19</v>
      </c>
      <c r="D88" s="244">
        <f t="shared" ref="D88:D89" si="9">$F$82</f>
        <v>4434.9863514250064</v>
      </c>
      <c r="E88" s="252">
        <f>'Custos diversos e BDI - DNIT'!$D$33/100</f>
        <v>0.12</v>
      </c>
      <c r="F88" s="236">
        <f t="shared" ref="F88:F89" si="10">D88*E88</f>
        <v>532.19836217100078</v>
      </c>
    </row>
    <row r="89" spans="1:7" s="101" customFormat="1" ht="19.95" customHeight="1">
      <c r="A89" s="234"/>
      <c r="B89" s="239" t="s">
        <v>225</v>
      </c>
      <c r="C89" s="240" t="s">
        <v>19</v>
      </c>
      <c r="D89" s="244">
        <f t="shared" si="9"/>
        <v>4434.9863514250064</v>
      </c>
      <c r="E89" s="252">
        <f>'Custos diversos e BDI - DNIT'!$D$38/100</f>
        <v>0.2046</v>
      </c>
      <c r="F89" s="236">
        <f t="shared" si="10"/>
        <v>907.39820750155639</v>
      </c>
    </row>
    <row r="90" spans="1:7" s="101" customFormat="1" ht="19.95" customHeight="1">
      <c r="A90" s="34"/>
      <c r="B90" s="40"/>
      <c r="C90" s="49"/>
      <c r="D90" s="98"/>
      <c r="E90" s="100"/>
      <c r="F90" s="36"/>
    </row>
    <row r="91" spans="1:7" s="101" customFormat="1" ht="19.95" customHeight="1">
      <c r="A91" s="102" t="s">
        <v>47</v>
      </c>
      <c r="B91" s="103" t="s">
        <v>10</v>
      </c>
      <c r="C91" s="104" t="s">
        <v>46</v>
      </c>
      <c r="D91" s="105">
        <f>D83</f>
        <v>58.666666666666664</v>
      </c>
      <c r="E91" s="150">
        <f>'Custo Gerencial'!$G$48</f>
        <v>39.25</v>
      </c>
      <c r="F91" s="106">
        <f>D91*E91</f>
        <v>2302.6666666666665</v>
      </c>
    </row>
    <row r="92" spans="1:7" s="101" customFormat="1" ht="19.95" customHeight="1">
      <c r="A92" s="34"/>
      <c r="B92" s="40"/>
      <c r="C92" s="49"/>
      <c r="D92" s="98"/>
      <c r="E92" s="100"/>
      <c r="F92" s="36"/>
    </row>
    <row r="93" spans="1:7" s="101" customFormat="1" ht="19.95" customHeight="1" thickBot="1">
      <c r="A93" s="107"/>
      <c r="B93" s="247" t="s">
        <v>73</v>
      </c>
      <c r="C93" s="109" t="s">
        <v>21</v>
      </c>
      <c r="D93" s="110">
        <v>1</v>
      </c>
      <c r="E93" s="111">
        <f>F81</f>
        <v>8669.9765714075475</v>
      </c>
      <c r="F93" s="112">
        <f>E93*D93</f>
        <v>8669.9765714075475</v>
      </c>
    </row>
    <row r="94" spans="1:7" ht="19.95" customHeight="1">
      <c r="A94" s="114"/>
      <c r="B94" s="114"/>
      <c r="C94" s="114"/>
      <c r="D94" s="114"/>
      <c r="E94" s="114"/>
      <c r="F94" s="114"/>
    </row>
    <row r="95" spans="1:7" ht="19.95" customHeight="1" thickBot="1">
      <c r="A95" s="114"/>
      <c r="B95" s="114"/>
      <c r="C95" s="114"/>
      <c r="D95" s="114"/>
      <c r="F95" s="114"/>
    </row>
    <row r="96" spans="1:7" ht="19.95" customHeight="1" thickBot="1">
      <c r="A96" s="352" t="s">
        <v>264</v>
      </c>
      <c r="B96" s="353"/>
      <c r="C96" s="353"/>
      <c r="D96" s="353"/>
      <c r="E96" s="353"/>
      <c r="F96" s="354"/>
      <c r="G96" s="146"/>
    </row>
    <row r="97" spans="1:6" ht="19.95" customHeight="1">
      <c r="A97" s="348" t="s">
        <v>3</v>
      </c>
      <c r="B97" s="350" t="s">
        <v>5</v>
      </c>
      <c r="C97" s="350"/>
      <c r="D97" s="346" t="s">
        <v>27</v>
      </c>
      <c r="E97" s="344" t="s">
        <v>312</v>
      </c>
      <c r="F97" s="345"/>
    </row>
    <row r="98" spans="1:6" ht="19.95" customHeight="1">
      <c r="A98" s="349"/>
      <c r="B98" s="351"/>
      <c r="C98" s="351"/>
      <c r="D98" s="347"/>
      <c r="E98" s="147" t="s">
        <v>75</v>
      </c>
      <c r="F98" s="147" t="s">
        <v>312</v>
      </c>
    </row>
    <row r="99" spans="1:6" ht="44.25" customHeight="1">
      <c r="A99" s="169" t="str">
        <f>A3</f>
        <v xml:space="preserve"> A</v>
      </c>
      <c r="B99" s="155" t="str">
        <f>B3</f>
        <v>ELABORAÇÃO DE DOCUMENTOS PARA AUDIÊNCIA PÚBLICA DOS PROJETOS DE CONCESSÃO E PRORROGAÇÕES ANTECIPADAS</v>
      </c>
      <c r="C99" s="116"/>
      <c r="D99" s="156">
        <f>D27</f>
        <v>1</v>
      </c>
      <c r="E99" s="157">
        <f>E27</f>
        <v>215045.82666764825</v>
      </c>
      <c r="F99" s="158">
        <f>E99*12</f>
        <v>2580549.9200117788</v>
      </c>
    </row>
    <row r="100" spans="1:6" ht="22.8">
      <c r="A100" s="169" t="str">
        <f>A29</f>
        <v>B</v>
      </c>
      <c r="B100" s="155" t="str">
        <f>B29</f>
        <v>AJUSTES DE DOCUMENTOS APÓS AUDIÊNCIA PÚBLICA DOS PROJETOS DE CONCESSÃO E PRORROGAÇÕES ANTECIPADAS</v>
      </c>
      <c r="C100" s="116"/>
      <c r="D100" s="156">
        <f>D52</f>
        <v>1</v>
      </c>
      <c r="E100" s="157">
        <f>E52</f>
        <v>200964.09219161133</v>
      </c>
      <c r="F100" s="158">
        <f t="shared" ref="F100:F102" si="11">E100*12</f>
        <v>2411569.1062993361</v>
      </c>
    </row>
    <row r="101" spans="1:6" ht="42.75" customHeight="1">
      <c r="A101" s="169" t="str">
        <f>A54</f>
        <v>C</v>
      </c>
      <c r="B101" s="155" t="str">
        <f>B54</f>
        <v>AJUSTES DE DOCUMENTOS DURANTE E APÓS ANÁLISE PELO TRIBUNAL DE CONTAS DA UNIÃO DOS PROJETOS DE CONCESSÃO E PRORROGAÇÕES ANTECIPADAS</v>
      </c>
      <c r="C101" s="116"/>
      <c r="D101" s="156">
        <f>D77</f>
        <v>1</v>
      </c>
      <c r="E101" s="157">
        <f>E77</f>
        <v>117058.25827896311</v>
      </c>
      <c r="F101" s="158">
        <f t="shared" si="11"/>
        <v>1404699.0993475574</v>
      </c>
    </row>
    <row r="102" spans="1:6" ht="28.5" customHeight="1">
      <c r="A102" s="169" t="str">
        <f>A79</f>
        <v>D</v>
      </c>
      <c r="B102" s="155" t="str">
        <f>B79</f>
        <v>ELABORAÇÃO DE CRONOGRAMA PARA GESTÃO DE PROJETOS DE CONCESSÃO E PRORROGAÇÕES ANTECIPADAS</v>
      </c>
      <c r="C102" s="116"/>
      <c r="D102" s="156">
        <f>D93</f>
        <v>1</v>
      </c>
      <c r="E102" s="157">
        <f>E93</f>
        <v>8669.9765714075475</v>
      </c>
      <c r="F102" s="158">
        <f t="shared" si="11"/>
        <v>104039.71885689057</v>
      </c>
    </row>
    <row r="103" spans="1:6" ht="19.95" customHeight="1" thickBot="1">
      <c r="D103" s="159"/>
      <c r="E103" s="144" t="s">
        <v>30</v>
      </c>
      <c r="F103" s="145">
        <f>ROUND(SUM(F99:F102),2)</f>
        <v>6500857.8399999999</v>
      </c>
    </row>
    <row r="104" spans="1:6">
      <c r="D104" s="117"/>
      <c r="E104" s="128"/>
    </row>
  </sheetData>
  <sheetProtection algorithmName="SHA-512" hashValue="ZGmyvMlgUdCvmloCBs9TA0z/T3t/YCs4Nj9Ic5V9qRsKogOowt1Q/SwWLj9NoSbbR4iSlIufTV/Rle9SeZSqnQ==" saltValue="GSDJ0sT4YAkeLSWSXqssMw==" spinCount="100000" sheet="1" objects="1" scenarios="1"/>
  <autoFilter ref="A5:A95"/>
  <mergeCells count="12">
    <mergeCell ref="E97:F97"/>
    <mergeCell ref="D97:D98"/>
    <mergeCell ref="A97:A98"/>
    <mergeCell ref="B97:C98"/>
    <mergeCell ref="A96:F96"/>
    <mergeCell ref="H3:J3"/>
    <mergeCell ref="B29:F29"/>
    <mergeCell ref="B54:F54"/>
    <mergeCell ref="B79:F79"/>
    <mergeCell ref="A1:B1"/>
    <mergeCell ref="C1:E1"/>
    <mergeCell ref="B3:F3"/>
  </mergeCells>
  <printOptions horizontalCentered="1"/>
  <pageMargins left="0.39370078740157483" right="0.39370078740157483" top="1.1811023622047245" bottom="0.59055118110236227" header="0.39370078740157483" footer="0.39370078740157483"/>
  <pageSetup paperSize="9" scale="50" firstPageNumber="0" fitToHeight="0" orientation="portrait" r:id="rId1"/>
  <headerFooter alignWithMargins="0">
    <oddHeader>&amp;L&amp;G</oddHeader>
    <oddFooter>&amp;A</oddFooter>
  </headerFooter>
  <rowBreaks count="3" manualBreakCount="3">
    <brk id="28" max="6" man="1"/>
    <brk id="53" max="6" man="1"/>
    <brk id="95" max="6" man="1"/>
  </rowBreaks>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K49"/>
  <sheetViews>
    <sheetView zoomScale="85" zoomScaleNormal="85" zoomScaleSheetLayoutView="90" workbookViewId="0">
      <selection sqref="A1:G1"/>
    </sheetView>
  </sheetViews>
  <sheetFormatPr defaultColWidth="8.6640625" defaultRowHeight="14.4"/>
  <cols>
    <col min="1" max="1" width="8.6640625" style="6" customWidth="1"/>
    <col min="2" max="2" width="6.33203125" style="6" customWidth="1"/>
    <col min="3" max="3" width="59.109375" style="6" customWidth="1"/>
    <col min="4" max="4" width="14.33203125" style="58" bestFit="1" customWidth="1"/>
    <col min="5" max="5" width="13.109375" style="6" customWidth="1"/>
    <col min="6" max="6" width="16" style="6" customWidth="1"/>
    <col min="7" max="7" width="15.33203125" style="6" customWidth="1"/>
    <col min="8" max="8" width="17.33203125" style="6" customWidth="1"/>
    <col min="9" max="9" width="10.5546875" style="122" bestFit="1" customWidth="1"/>
    <col min="10" max="11" width="9.5546875" style="7" customWidth="1"/>
    <col min="12" max="18" width="9.5546875" style="6" customWidth="1"/>
    <col min="19" max="256" width="8.6640625" style="6"/>
    <col min="257" max="258" width="10.6640625" style="6" customWidth="1"/>
    <col min="259" max="259" width="36.6640625" style="6" customWidth="1"/>
    <col min="260" max="260" width="35.44140625" style="6" customWidth="1"/>
    <col min="261" max="261" width="14.109375" style="6" customWidth="1"/>
    <col min="262" max="262" width="16" style="6" customWidth="1"/>
    <col min="263" max="263" width="19.33203125" style="6" customWidth="1"/>
    <col min="264" max="264" width="15" style="6" customWidth="1"/>
    <col min="265" max="265" width="9.6640625" style="6" bestFit="1" customWidth="1"/>
    <col min="266" max="512" width="8.6640625" style="6"/>
    <col min="513" max="514" width="10.6640625" style="6" customWidth="1"/>
    <col min="515" max="515" width="36.6640625" style="6" customWidth="1"/>
    <col min="516" max="516" width="35.44140625" style="6" customWidth="1"/>
    <col min="517" max="517" width="14.109375" style="6" customWidth="1"/>
    <col min="518" max="518" width="16" style="6" customWidth="1"/>
    <col min="519" max="519" width="19.33203125" style="6" customWidth="1"/>
    <col min="520" max="520" width="15" style="6" customWidth="1"/>
    <col min="521" max="521" width="9.6640625" style="6" bestFit="1" customWidth="1"/>
    <col min="522" max="768" width="8.6640625" style="6"/>
    <col min="769" max="770" width="10.6640625" style="6" customWidth="1"/>
    <col min="771" max="771" width="36.6640625" style="6" customWidth="1"/>
    <col min="772" max="772" width="35.44140625" style="6" customWidth="1"/>
    <col min="773" max="773" width="14.109375" style="6" customWidth="1"/>
    <col min="774" max="774" width="16" style="6" customWidth="1"/>
    <col min="775" max="775" width="19.33203125" style="6" customWidth="1"/>
    <col min="776" max="776" width="15" style="6" customWidth="1"/>
    <col min="777" max="777" width="9.6640625" style="6" bestFit="1" customWidth="1"/>
    <col min="778" max="1024" width="8.6640625" style="6"/>
    <col min="1025" max="1026" width="10.6640625" style="6" customWidth="1"/>
    <col min="1027" max="1027" width="36.6640625" style="6" customWidth="1"/>
    <col min="1028" max="1028" width="35.44140625" style="6" customWidth="1"/>
    <col min="1029" max="1029" width="14.109375" style="6" customWidth="1"/>
    <col min="1030" max="1030" width="16" style="6" customWidth="1"/>
    <col min="1031" max="1031" width="19.33203125" style="6" customWidth="1"/>
    <col min="1032" max="1032" width="15" style="6" customWidth="1"/>
    <col min="1033" max="1033" width="9.6640625" style="6" bestFit="1" customWidth="1"/>
    <col min="1034" max="1280" width="8.6640625" style="6"/>
    <col min="1281" max="1282" width="10.6640625" style="6" customWidth="1"/>
    <col min="1283" max="1283" width="36.6640625" style="6" customWidth="1"/>
    <col min="1284" max="1284" width="35.44140625" style="6" customWidth="1"/>
    <col min="1285" max="1285" width="14.109375" style="6" customWidth="1"/>
    <col min="1286" max="1286" width="16" style="6" customWidth="1"/>
    <col min="1287" max="1287" width="19.33203125" style="6" customWidth="1"/>
    <col min="1288" max="1288" width="15" style="6" customWidth="1"/>
    <col min="1289" max="1289" width="9.6640625" style="6" bestFit="1" customWidth="1"/>
    <col min="1290" max="1536" width="8.6640625" style="6"/>
    <col min="1537" max="1538" width="10.6640625" style="6" customWidth="1"/>
    <col min="1539" max="1539" width="36.6640625" style="6" customWidth="1"/>
    <col min="1540" max="1540" width="35.44140625" style="6" customWidth="1"/>
    <col min="1541" max="1541" width="14.109375" style="6" customWidth="1"/>
    <col min="1542" max="1542" width="16" style="6" customWidth="1"/>
    <col min="1543" max="1543" width="19.33203125" style="6" customWidth="1"/>
    <col min="1544" max="1544" width="15" style="6" customWidth="1"/>
    <col min="1545" max="1545" width="9.6640625" style="6" bestFit="1" customWidth="1"/>
    <col min="1546" max="1792" width="8.6640625" style="6"/>
    <col min="1793" max="1794" width="10.6640625" style="6" customWidth="1"/>
    <col min="1795" max="1795" width="36.6640625" style="6" customWidth="1"/>
    <col min="1796" max="1796" width="35.44140625" style="6" customWidth="1"/>
    <col min="1797" max="1797" width="14.109375" style="6" customWidth="1"/>
    <col min="1798" max="1798" width="16" style="6" customWidth="1"/>
    <col min="1799" max="1799" width="19.33203125" style="6" customWidth="1"/>
    <col min="1800" max="1800" width="15" style="6" customWidth="1"/>
    <col min="1801" max="1801" width="9.6640625" style="6" bestFit="1" customWidth="1"/>
    <col min="1802" max="2048" width="8.6640625" style="6"/>
    <col min="2049" max="2050" width="10.6640625" style="6" customWidth="1"/>
    <col min="2051" max="2051" width="36.6640625" style="6" customWidth="1"/>
    <col min="2052" max="2052" width="35.44140625" style="6" customWidth="1"/>
    <col min="2053" max="2053" width="14.109375" style="6" customWidth="1"/>
    <col min="2054" max="2054" width="16" style="6" customWidth="1"/>
    <col min="2055" max="2055" width="19.33203125" style="6" customWidth="1"/>
    <col min="2056" max="2056" width="15" style="6" customWidth="1"/>
    <col min="2057" max="2057" width="9.6640625" style="6" bestFit="1" customWidth="1"/>
    <col min="2058" max="2304" width="8.6640625" style="6"/>
    <col min="2305" max="2306" width="10.6640625" style="6" customWidth="1"/>
    <col min="2307" max="2307" width="36.6640625" style="6" customWidth="1"/>
    <col min="2308" max="2308" width="35.44140625" style="6" customWidth="1"/>
    <col min="2309" max="2309" width="14.109375" style="6" customWidth="1"/>
    <col min="2310" max="2310" width="16" style="6" customWidth="1"/>
    <col min="2311" max="2311" width="19.33203125" style="6" customWidth="1"/>
    <col min="2312" max="2312" width="15" style="6" customWidth="1"/>
    <col min="2313" max="2313" width="9.6640625" style="6" bestFit="1" customWidth="1"/>
    <col min="2314" max="2560" width="8.6640625" style="6"/>
    <col min="2561" max="2562" width="10.6640625" style="6" customWidth="1"/>
    <col min="2563" max="2563" width="36.6640625" style="6" customWidth="1"/>
    <col min="2564" max="2564" width="35.44140625" style="6" customWidth="1"/>
    <col min="2565" max="2565" width="14.109375" style="6" customWidth="1"/>
    <col min="2566" max="2566" width="16" style="6" customWidth="1"/>
    <col min="2567" max="2567" width="19.33203125" style="6" customWidth="1"/>
    <col min="2568" max="2568" width="15" style="6" customWidth="1"/>
    <col min="2569" max="2569" width="9.6640625" style="6" bestFit="1" customWidth="1"/>
    <col min="2570" max="2816" width="8.6640625" style="6"/>
    <col min="2817" max="2818" width="10.6640625" style="6" customWidth="1"/>
    <col min="2819" max="2819" width="36.6640625" style="6" customWidth="1"/>
    <col min="2820" max="2820" width="35.44140625" style="6" customWidth="1"/>
    <col min="2821" max="2821" width="14.109375" style="6" customWidth="1"/>
    <col min="2822" max="2822" width="16" style="6" customWidth="1"/>
    <col min="2823" max="2823" width="19.33203125" style="6" customWidth="1"/>
    <col min="2824" max="2824" width="15" style="6" customWidth="1"/>
    <col min="2825" max="2825" width="9.6640625" style="6" bestFit="1" customWidth="1"/>
    <col min="2826" max="3072" width="8.6640625" style="6"/>
    <col min="3073" max="3074" width="10.6640625" style="6" customWidth="1"/>
    <col min="3075" max="3075" width="36.6640625" style="6" customWidth="1"/>
    <col min="3076" max="3076" width="35.44140625" style="6" customWidth="1"/>
    <col min="3077" max="3077" width="14.109375" style="6" customWidth="1"/>
    <col min="3078" max="3078" width="16" style="6" customWidth="1"/>
    <col min="3079" max="3079" width="19.33203125" style="6" customWidth="1"/>
    <col min="3080" max="3080" width="15" style="6" customWidth="1"/>
    <col min="3081" max="3081" width="9.6640625" style="6" bestFit="1" customWidth="1"/>
    <col min="3082" max="3328" width="8.6640625" style="6"/>
    <col min="3329" max="3330" width="10.6640625" style="6" customWidth="1"/>
    <col min="3331" max="3331" width="36.6640625" style="6" customWidth="1"/>
    <col min="3332" max="3332" width="35.44140625" style="6" customWidth="1"/>
    <col min="3333" max="3333" width="14.109375" style="6" customWidth="1"/>
    <col min="3334" max="3334" width="16" style="6" customWidth="1"/>
    <col min="3335" max="3335" width="19.33203125" style="6" customWidth="1"/>
    <col min="3336" max="3336" width="15" style="6" customWidth="1"/>
    <col min="3337" max="3337" width="9.6640625" style="6" bestFit="1" customWidth="1"/>
    <col min="3338" max="3584" width="8.6640625" style="6"/>
    <col min="3585" max="3586" width="10.6640625" style="6" customWidth="1"/>
    <col min="3587" max="3587" width="36.6640625" style="6" customWidth="1"/>
    <col min="3588" max="3588" width="35.44140625" style="6" customWidth="1"/>
    <col min="3589" max="3589" width="14.109375" style="6" customWidth="1"/>
    <col min="3590" max="3590" width="16" style="6" customWidth="1"/>
    <col min="3591" max="3591" width="19.33203125" style="6" customWidth="1"/>
    <col min="3592" max="3592" width="15" style="6" customWidth="1"/>
    <col min="3593" max="3593" width="9.6640625" style="6" bestFit="1" customWidth="1"/>
    <col min="3594" max="3840" width="8.6640625" style="6"/>
    <col min="3841" max="3842" width="10.6640625" style="6" customWidth="1"/>
    <col min="3843" max="3843" width="36.6640625" style="6" customWidth="1"/>
    <col min="3844" max="3844" width="35.44140625" style="6" customWidth="1"/>
    <col min="3845" max="3845" width="14.109375" style="6" customWidth="1"/>
    <col min="3846" max="3846" width="16" style="6" customWidth="1"/>
    <col min="3847" max="3847" width="19.33203125" style="6" customWidth="1"/>
    <col min="3848" max="3848" width="15" style="6" customWidth="1"/>
    <col min="3849" max="3849" width="9.6640625" style="6" bestFit="1" customWidth="1"/>
    <col min="3850" max="4096" width="8.6640625" style="6"/>
    <col min="4097" max="4098" width="10.6640625" style="6" customWidth="1"/>
    <col min="4099" max="4099" width="36.6640625" style="6" customWidth="1"/>
    <col min="4100" max="4100" width="35.44140625" style="6" customWidth="1"/>
    <col min="4101" max="4101" width="14.109375" style="6" customWidth="1"/>
    <col min="4102" max="4102" width="16" style="6" customWidth="1"/>
    <col min="4103" max="4103" width="19.33203125" style="6" customWidth="1"/>
    <col min="4104" max="4104" width="15" style="6" customWidth="1"/>
    <col min="4105" max="4105" width="9.6640625" style="6" bestFit="1" customWidth="1"/>
    <col min="4106" max="4352" width="8.6640625" style="6"/>
    <col min="4353" max="4354" width="10.6640625" style="6" customWidth="1"/>
    <col min="4355" max="4355" width="36.6640625" style="6" customWidth="1"/>
    <col min="4356" max="4356" width="35.44140625" style="6" customWidth="1"/>
    <col min="4357" max="4357" width="14.109375" style="6" customWidth="1"/>
    <col min="4358" max="4358" width="16" style="6" customWidth="1"/>
    <col min="4359" max="4359" width="19.33203125" style="6" customWidth="1"/>
    <col min="4360" max="4360" width="15" style="6" customWidth="1"/>
    <col min="4361" max="4361" width="9.6640625" style="6" bestFit="1" customWidth="1"/>
    <col min="4362" max="4608" width="8.6640625" style="6"/>
    <col min="4609" max="4610" width="10.6640625" style="6" customWidth="1"/>
    <col min="4611" max="4611" width="36.6640625" style="6" customWidth="1"/>
    <col min="4612" max="4612" width="35.44140625" style="6" customWidth="1"/>
    <col min="4613" max="4613" width="14.109375" style="6" customWidth="1"/>
    <col min="4614" max="4614" width="16" style="6" customWidth="1"/>
    <col min="4615" max="4615" width="19.33203125" style="6" customWidth="1"/>
    <col min="4616" max="4616" width="15" style="6" customWidth="1"/>
    <col min="4617" max="4617" width="9.6640625" style="6" bestFit="1" customWidth="1"/>
    <col min="4618" max="4864" width="8.6640625" style="6"/>
    <col min="4865" max="4866" width="10.6640625" style="6" customWidth="1"/>
    <col min="4867" max="4867" width="36.6640625" style="6" customWidth="1"/>
    <col min="4868" max="4868" width="35.44140625" style="6" customWidth="1"/>
    <col min="4869" max="4869" width="14.109375" style="6" customWidth="1"/>
    <col min="4870" max="4870" width="16" style="6" customWidth="1"/>
    <col min="4871" max="4871" width="19.33203125" style="6" customWidth="1"/>
    <col min="4872" max="4872" width="15" style="6" customWidth="1"/>
    <col min="4873" max="4873" width="9.6640625" style="6" bestFit="1" customWidth="1"/>
    <col min="4874" max="5120" width="8.6640625" style="6"/>
    <col min="5121" max="5122" width="10.6640625" style="6" customWidth="1"/>
    <col min="5123" max="5123" width="36.6640625" style="6" customWidth="1"/>
    <col min="5124" max="5124" width="35.44140625" style="6" customWidth="1"/>
    <col min="5125" max="5125" width="14.109375" style="6" customWidth="1"/>
    <col min="5126" max="5126" width="16" style="6" customWidth="1"/>
    <col min="5127" max="5127" width="19.33203125" style="6" customWidth="1"/>
    <col min="5128" max="5128" width="15" style="6" customWidth="1"/>
    <col min="5129" max="5129" width="9.6640625" style="6" bestFit="1" customWidth="1"/>
    <col min="5130" max="5376" width="8.6640625" style="6"/>
    <col min="5377" max="5378" width="10.6640625" style="6" customWidth="1"/>
    <col min="5379" max="5379" width="36.6640625" style="6" customWidth="1"/>
    <col min="5380" max="5380" width="35.44140625" style="6" customWidth="1"/>
    <col min="5381" max="5381" width="14.109375" style="6" customWidth="1"/>
    <col min="5382" max="5382" width="16" style="6" customWidth="1"/>
    <col min="5383" max="5383" width="19.33203125" style="6" customWidth="1"/>
    <col min="5384" max="5384" width="15" style="6" customWidth="1"/>
    <col min="5385" max="5385" width="9.6640625" style="6" bestFit="1" customWidth="1"/>
    <col min="5386" max="5632" width="8.6640625" style="6"/>
    <col min="5633" max="5634" width="10.6640625" style="6" customWidth="1"/>
    <col min="5635" max="5635" width="36.6640625" style="6" customWidth="1"/>
    <col min="5636" max="5636" width="35.44140625" style="6" customWidth="1"/>
    <col min="5637" max="5637" width="14.109375" style="6" customWidth="1"/>
    <col min="5638" max="5638" width="16" style="6" customWidth="1"/>
    <col min="5639" max="5639" width="19.33203125" style="6" customWidth="1"/>
    <col min="5640" max="5640" width="15" style="6" customWidth="1"/>
    <col min="5641" max="5641" width="9.6640625" style="6" bestFit="1" customWidth="1"/>
    <col min="5642" max="5888" width="8.6640625" style="6"/>
    <col min="5889" max="5890" width="10.6640625" style="6" customWidth="1"/>
    <col min="5891" max="5891" width="36.6640625" style="6" customWidth="1"/>
    <col min="5892" max="5892" width="35.44140625" style="6" customWidth="1"/>
    <col min="5893" max="5893" width="14.109375" style="6" customWidth="1"/>
    <col min="5894" max="5894" width="16" style="6" customWidth="1"/>
    <col min="5895" max="5895" width="19.33203125" style="6" customWidth="1"/>
    <col min="5896" max="5896" width="15" style="6" customWidth="1"/>
    <col min="5897" max="5897" width="9.6640625" style="6" bestFit="1" customWidth="1"/>
    <col min="5898" max="6144" width="8.6640625" style="6"/>
    <col min="6145" max="6146" width="10.6640625" style="6" customWidth="1"/>
    <col min="6147" max="6147" width="36.6640625" style="6" customWidth="1"/>
    <col min="6148" max="6148" width="35.44140625" style="6" customWidth="1"/>
    <col min="6149" max="6149" width="14.109375" style="6" customWidth="1"/>
    <col min="6150" max="6150" width="16" style="6" customWidth="1"/>
    <col min="6151" max="6151" width="19.33203125" style="6" customWidth="1"/>
    <col min="6152" max="6152" width="15" style="6" customWidth="1"/>
    <col min="6153" max="6153" width="9.6640625" style="6" bestFit="1" customWidth="1"/>
    <col min="6154" max="6400" width="8.6640625" style="6"/>
    <col min="6401" max="6402" width="10.6640625" style="6" customWidth="1"/>
    <col min="6403" max="6403" width="36.6640625" style="6" customWidth="1"/>
    <col min="6404" max="6404" width="35.44140625" style="6" customWidth="1"/>
    <col min="6405" max="6405" width="14.109375" style="6" customWidth="1"/>
    <col min="6406" max="6406" width="16" style="6" customWidth="1"/>
    <col min="6407" max="6407" width="19.33203125" style="6" customWidth="1"/>
    <col min="6408" max="6408" width="15" style="6" customWidth="1"/>
    <col min="6409" max="6409" width="9.6640625" style="6" bestFit="1" customWidth="1"/>
    <col min="6410" max="6656" width="8.6640625" style="6"/>
    <col min="6657" max="6658" width="10.6640625" style="6" customWidth="1"/>
    <col min="6659" max="6659" width="36.6640625" style="6" customWidth="1"/>
    <col min="6660" max="6660" width="35.44140625" style="6" customWidth="1"/>
    <col min="6661" max="6661" width="14.109375" style="6" customWidth="1"/>
    <col min="6662" max="6662" width="16" style="6" customWidth="1"/>
    <col min="6663" max="6663" width="19.33203125" style="6" customWidth="1"/>
    <col min="6664" max="6664" width="15" style="6" customWidth="1"/>
    <col min="6665" max="6665" width="9.6640625" style="6" bestFit="1" customWidth="1"/>
    <col min="6666" max="6912" width="8.6640625" style="6"/>
    <col min="6913" max="6914" width="10.6640625" style="6" customWidth="1"/>
    <col min="6915" max="6915" width="36.6640625" style="6" customWidth="1"/>
    <col min="6916" max="6916" width="35.44140625" style="6" customWidth="1"/>
    <col min="6917" max="6917" width="14.109375" style="6" customWidth="1"/>
    <col min="6918" max="6918" width="16" style="6" customWidth="1"/>
    <col min="6919" max="6919" width="19.33203125" style="6" customWidth="1"/>
    <col min="6920" max="6920" width="15" style="6" customWidth="1"/>
    <col min="6921" max="6921" width="9.6640625" style="6" bestFit="1" customWidth="1"/>
    <col min="6922" max="7168" width="8.6640625" style="6"/>
    <col min="7169" max="7170" width="10.6640625" style="6" customWidth="1"/>
    <col min="7171" max="7171" width="36.6640625" style="6" customWidth="1"/>
    <col min="7172" max="7172" width="35.44140625" style="6" customWidth="1"/>
    <col min="7173" max="7173" width="14.109375" style="6" customWidth="1"/>
    <col min="7174" max="7174" width="16" style="6" customWidth="1"/>
    <col min="7175" max="7175" width="19.33203125" style="6" customWidth="1"/>
    <col min="7176" max="7176" width="15" style="6" customWidth="1"/>
    <col min="7177" max="7177" width="9.6640625" style="6" bestFit="1" customWidth="1"/>
    <col min="7178" max="7424" width="8.6640625" style="6"/>
    <col min="7425" max="7426" width="10.6640625" style="6" customWidth="1"/>
    <col min="7427" max="7427" width="36.6640625" style="6" customWidth="1"/>
    <col min="7428" max="7428" width="35.44140625" style="6" customWidth="1"/>
    <col min="7429" max="7429" width="14.109375" style="6" customWidth="1"/>
    <col min="7430" max="7430" width="16" style="6" customWidth="1"/>
    <col min="7431" max="7431" width="19.33203125" style="6" customWidth="1"/>
    <col min="7432" max="7432" width="15" style="6" customWidth="1"/>
    <col min="7433" max="7433" width="9.6640625" style="6" bestFit="1" customWidth="1"/>
    <col min="7434" max="7680" width="8.6640625" style="6"/>
    <col min="7681" max="7682" width="10.6640625" style="6" customWidth="1"/>
    <col min="7683" max="7683" width="36.6640625" style="6" customWidth="1"/>
    <col min="7684" max="7684" width="35.44140625" style="6" customWidth="1"/>
    <col min="7685" max="7685" width="14.109375" style="6" customWidth="1"/>
    <col min="7686" max="7686" width="16" style="6" customWidth="1"/>
    <col min="7687" max="7687" width="19.33203125" style="6" customWidth="1"/>
    <col min="7688" max="7688" width="15" style="6" customWidth="1"/>
    <col min="7689" max="7689" width="9.6640625" style="6" bestFit="1" customWidth="1"/>
    <col min="7690" max="7936" width="8.6640625" style="6"/>
    <col min="7937" max="7938" width="10.6640625" style="6" customWidth="1"/>
    <col min="7939" max="7939" width="36.6640625" style="6" customWidth="1"/>
    <col min="7940" max="7940" width="35.44140625" style="6" customWidth="1"/>
    <col min="7941" max="7941" width="14.109375" style="6" customWidth="1"/>
    <col min="7942" max="7942" width="16" style="6" customWidth="1"/>
    <col min="7943" max="7943" width="19.33203125" style="6" customWidth="1"/>
    <col min="7944" max="7944" width="15" style="6" customWidth="1"/>
    <col min="7945" max="7945" width="9.6640625" style="6" bestFit="1" customWidth="1"/>
    <col min="7946" max="8192" width="8.6640625" style="6"/>
    <col min="8193" max="8194" width="10.6640625" style="6" customWidth="1"/>
    <col min="8195" max="8195" width="36.6640625" style="6" customWidth="1"/>
    <col min="8196" max="8196" width="35.44140625" style="6" customWidth="1"/>
    <col min="8197" max="8197" width="14.109375" style="6" customWidth="1"/>
    <col min="8198" max="8198" width="16" style="6" customWidth="1"/>
    <col min="8199" max="8199" width="19.33203125" style="6" customWidth="1"/>
    <col min="8200" max="8200" width="15" style="6" customWidth="1"/>
    <col min="8201" max="8201" width="9.6640625" style="6" bestFit="1" customWidth="1"/>
    <col min="8202" max="8448" width="8.6640625" style="6"/>
    <col min="8449" max="8450" width="10.6640625" style="6" customWidth="1"/>
    <col min="8451" max="8451" width="36.6640625" style="6" customWidth="1"/>
    <col min="8452" max="8452" width="35.44140625" style="6" customWidth="1"/>
    <col min="8453" max="8453" width="14.109375" style="6" customWidth="1"/>
    <col min="8454" max="8454" width="16" style="6" customWidth="1"/>
    <col min="8455" max="8455" width="19.33203125" style="6" customWidth="1"/>
    <col min="8456" max="8456" width="15" style="6" customWidth="1"/>
    <col min="8457" max="8457" width="9.6640625" style="6" bestFit="1" customWidth="1"/>
    <col min="8458" max="8704" width="8.6640625" style="6"/>
    <col min="8705" max="8706" width="10.6640625" style="6" customWidth="1"/>
    <col min="8707" max="8707" width="36.6640625" style="6" customWidth="1"/>
    <col min="8708" max="8708" width="35.44140625" style="6" customWidth="1"/>
    <col min="8709" max="8709" width="14.109375" style="6" customWidth="1"/>
    <col min="8710" max="8710" width="16" style="6" customWidth="1"/>
    <col min="8711" max="8711" width="19.33203125" style="6" customWidth="1"/>
    <col min="8712" max="8712" width="15" style="6" customWidth="1"/>
    <col min="8713" max="8713" width="9.6640625" style="6" bestFit="1" customWidth="1"/>
    <col min="8714" max="8960" width="8.6640625" style="6"/>
    <col min="8961" max="8962" width="10.6640625" style="6" customWidth="1"/>
    <col min="8963" max="8963" width="36.6640625" style="6" customWidth="1"/>
    <col min="8964" max="8964" width="35.44140625" style="6" customWidth="1"/>
    <col min="8965" max="8965" width="14.109375" style="6" customWidth="1"/>
    <col min="8966" max="8966" width="16" style="6" customWidth="1"/>
    <col min="8967" max="8967" width="19.33203125" style="6" customWidth="1"/>
    <col min="8968" max="8968" width="15" style="6" customWidth="1"/>
    <col min="8969" max="8969" width="9.6640625" style="6" bestFit="1" customWidth="1"/>
    <col min="8970" max="9216" width="8.6640625" style="6"/>
    <col min="9217" max="9218" width="10.6640625" style="6" customWidth="1"/>
    <col min="9219" max="9219" width="36.6640625" style="6" customWidth="1"/>
    <col min="9220" max="9220" width="35.44140625" style="6" customWidth="1"/>
    <col min="9221" max="9221" width="14.109375" style="6" customWidth="1"/>
    <col min="9222" max="9222" width="16" style="6" customWidth="1"/>
    <col min="9223" max="9223" width="19.33203125" style="6" customWidth="1"/>
    <col min="9224" max="9224" width="15" style="6" customWidth="1"/>
    <col min="9225" max="9225" width="9.6640625" style="6" bestFit="1" customWidth="1"/>
    <col min="9226" max="9472" width="8.6640625" style="6"/>
    <col min="9473" max="9474" width="10.6640625" style="6" customWidth="1"/>
    <col min="9475" max="9475" width="36.6640625" style="6" customWidth="1"/>
    <col min="9476" max="9476" width="35.44140625" style="6" customWidth="1"/>
    <col min="9477" max="9477" width="14.109375" style="6" customWidth="1"/>
    <col min="9478" max="9478" width="16" style="6" customWidth="1"/>
    <col min="9479" max="9479" width="19.33203125" style="6" customWidth="1"/>
    <col min="9480" max="9480" width="15" style="6" customWidth="1"/>
    <col min="9481" max="9481" width="9.6640625" style="6" bestFit="1" customWidth="1"/>
    <col min="9482" max="9728" width="8.6640625" style="6"/>
    <col min="9729" max="9730" width="10.6640625" style="6" customWidth="1"/>
    <col min="9731" max="9731" width="36.6640625" style="6" customWidth="1"/>
    <col min="9732" max="9732" width="35.44140625" style="6" customWidth="1"/>
    <col min="9733" max="9733" width="14.109375" style="6" customWidth="1"/>
    <col min="9734" max="9734" width="16" style="6" customWidth="1"/>
    <col min="9735" max="9735" width="19.33203125" style="6" customWidth="1"/>
    <col min="9736" max="9736" width="15" style="6" customWidth="1"/>
    <col min="9737" max="9737" width="9.6640625" style="6" bestFit="1" customWidth="1"/>
    <col min="9738" max="9984" width="8.6640625" style="6"/>
    <col min="9985" max="9986" width="10.6640625" style="6" customWidth="1"/>
    <col min="9987" max="9987" width="36.6640625" style="6" customWidth="1"/>
    <col min="9988" max="9988" width="35.44140625" style="6" customWidth="1"/>
    <col min="9989" max="9989" width="14.109375" style="6" customWidth="1"/>
    <col min="9990" max="9990" width="16" style="6" customWidth="1"/>
    <col min="9991" max="9991" width="19.33203125" style="6" customWidth="1"/>
    <col min="9992" max="9992" width="15" style="6" customWidth="1"/>
    <col min="9993" max="9993" width="9.6640625" style="6" bestFit="1" customWidth="1"/>
    <col min="9994" max="10240" width="8.6640625" style="6"/>
    <col min="10241" max="10242" width="10.6640625" style="6" customWidth="1"/>
    <col min="10243" max="10243" width="36.6640625" style="6" customWidth="1"/>
    <col min="10244" max="10244" width="35.44140625" style="6" customWidth="1"/>
    <col min="10245" max="10245" width="14.109375" style="6" customWidth="1"/>
    <col min="10246" max="10246" width="16" style="6" customWidth="1"/>
    <col min="10247" max="10247" width="19.33203125" style="6" customWidth="1"/>
    <col min="10248" max="10248" width="15" style="6" customWidth="1"/>
    <col min="10249" max="10249" width="9.6640625" style="6" bestFit="1" customWidth="1"/>
    <col min="10250" max="10496" width="8.6640625" style="6"/>
    <col min="10497" max="10498" width="10.6640625" style="6" customWidth="1"/>
    <col min="10499" max="10499" width="36.6640625" style="6" customWidth="1"/>
    <col min="10500" max="10500" width="35.44140625" style="6" customWidth="1"/>
    <col min="10501" max="10501" width="14.109375" style="6" customWidth="1"/>
    <col min="10502" max="10502" width="16" style="6" customWidth="1"/>
    <col min="10503" max="10503" width="19.33203125" style="6" customWidth="1"/>
    <col min="10504" max="10504" width="15" style="6" customWidth="1"/>
    <col min="10505" max="10505" width="9.6640625" style="6" bestFit="1" customWidth="1"/>
    <col min="10506" max="10752" width="8.6640625" style="6"/>
    <col min="10753" max="10754" width="10.6640625" style="6" customWidth="1"/>
    <col min="10755" max="10755" width="36.6640625" style="6" customWidth="1"/>
    <col min="10756" max="10756" width="35.44140625" style="6" customWidth="1"/>
    <col min="10757" max="10757" width="14.109375" style="6" customWidth="1"/>
    <col min="10758" max="10758" width="16" style="6" customWidth="1"/>
    <col min="10759" max="10759" width="19.33203125" style="6" customWidth="1"/>
    <col min="10760" max="10760" width="15" style="6" customWidth="1"/>
    <col min="10761" max="10761" width="9.6640625" style="6" bestFit="1" customWidth="1"/>
    <col min="10762" max="11008" width="8.6640625" style="6"/>
    <col min="11009" max="11010" width="10.6640625" style="6" customWidth="1"/>
    <col min="11011" max="11011" width="36.6640625" style="6" customWidth="1"/>
    <col min="11012" max="11012" width="35.44140625" style="6" customWidth="1"/>
    <col min="11013" max="11013" width="14.109375" style="6" customWidth="1"/>
    <col min="11014" max="11014" width="16" style="6" customWidth="1"/>
    <col min="11015" max="11015" width="19.33203125" style="6" customWidth="1"/>
    <col min="11016" max="11016" width="15" style="6" customWidth="1"/>
    <col min="11017" max="11017" width="9.6640625" style="6" bestFit="1" customWidth="1"/>
    <col min="11018" max="11264" width="8.6640625" style="6"/>
    <col min="11265" max="11266" width="10.6640625" style="6" customWidth="1"/>
    <col min="11267" max="11267" width="36.6640625" style="6" customWidth="1"/>
    <col min="11268" max="11268" width="35.44140625" style="6" customWidth="1"/>
    <col min="11269" max="11269" width="14.109375" style="6" customWidth="1"/>
    <col min="11270" max="11270" width="16" style="6" customWidth="1"/>
    <col min="11271" max="11271" width="19.33203125" style="6" customWidth="1"/>
    <col min="11272" max="11272" width="15" style="6" customWidth="1"/>
    <col min="11273" max="11273" width="9.6640625" style="6" bestFit="1" customWidth="1"/>
    <col min="11274" max="11520" width="8.6640625" style="6"/>
    <col min="11521" max="11522" width="10.6640625" style="6" customWidth="1"/>
    <col min="11523" max="11523" width="36.6640625" style="6" customWidth="1"/>
    <col min="11524" max="11524" width="35.44140625" style="6" customWidth="1"/>
    <col min="11525" max="11525" width="14.109375" style="6" customWidth="1"/>
    <col min="11526" max="11526" width="16" style="6" customWidth="1"/>
    <col min="11527" max="11527" width="19.33203125" style="6" customWidth="1"/>
    <col min="11528" max="11528" width="15" style="6" customWidth="1"/>
    <col min="11529" max="11529" width="9.6640625" style="6" bestFit="1" customWidth="1"/>
    <col min="11530" max="11776" width="8.6640625" style="6"/>
    <col min="11777" max="11778" width="10.6640625" style="6" customWidth="1"/>
    <col min="11779" max="11779" width="36.6640625" style="6" customWidth="1"/>
    <col min="11780" max="11780" width="35.44140625" style="6" customWidth="1"/>
    <col min="11781" max="11781" width="14.109375" style="6" customWidth="1"/>
    <col min="11782" max="11782" width="16" style="6" customWidth="1"/>
    <col min="11783" max="11783" width="19.33203125" style="6" customWidth="1"/>
    <col min="11784" max="11784" width="15" style="6" customWidth="1"/>
    <col min="11785" max="11785" width="9.6640625" style="6" bestFit="1" customWidth="1"/>
    <col min="11786" max="12032" width="8.6640625" style="6"/>
    <col min="12033" max="12034" width="10.6640625" style="6" customWidth="1"/>
    <col min="12035" max="12035" width="36.6640625" style="6" customWidth="1"/>
    <col min="12036" max="12036" width="35.44140625" style="6" customWidth="1"/>
    <col min="12037" max="12037" width="14.109375" style="6" customWidth="1"/>
    <col min="12038" max="12038" width="16" style="6" customWidth="1"/>
    <col min="12039" max="12039" width="19.33203125" style="6" customWidth="1"/>
    <col min="12040" max="12040" width="15" style="6" customWidth="1"/>
    <col min="12041" max="12041" width="9.6640625" style="6" bestFit="1" customWidth="1"/>
    <col min="12042" max="12288" width="8.6640625" style="6"/>
    <col min="12289" max="12290" width="10.6640625" style="6" customWidth="1"/>
    <col min="12291" max="12291" width="36.6640625" style="6" customWidth="1"/>
    <col min="12292" max="12292" width="35.44140625" style="6" customWidth="1"/>
    <col min="12293" max="12293" width="14.109375" style="6" customWidth="1"/>
    <col min="12294" max="12294" width="16" style="6" customWidth="1"/>
    <col min="12295" max="12295" width="19.33203125" style="6" customWidth="1"/>
    <col min="12296" max="12296" width="15" style="6" customWidth="1"/>
    <col min="12297" max="12297" width="9.6640625" style="6" bestFit="1" customWidth="1"/>
    <col min="12298" max="12544" width="8.6640625" style="6"/>
    <col min="12545" max="12546" width="10.6640625" style="6" customWidth="1"/>
    <col min="12547" max="12547" width="36.6640625" style="6" customWidth="1"/>
    <col min="12548" max="12548" width="35.44140625" style="6" customWidth="1"/>
    <col min="12549" max="12549" width="14.109375" style="6" customWidth="1"/>
    <col min="12550" max="12550" width="16" style="6" customWidth="1"/>
    <col min="12551" max="12551" width="19.33203125" style="6" customWidth="1"/>
    <col min="12552" max="12552" width="15" style="6" customWidth="1"/>
    <col min="12553" max="12553" width="9.6640625" style="6" bestFit="1" customWidth="1"/>
    <col min="12554" max="12800" width="8.6640625" style="6"/>
    <col min="12801" max="12802" width="10.6640625" style="6" customWidth="1"/>
    <col min="12803" max="12803" width="36.6640625" style="6" customWidth="1"/>
    <col min="12804" max="12804" width="35.44140625" style="6" customWidth="1"/>
    <col min="12805" max="12805" width="14.109375" style="6" customWidth="1"/>
    <col min="12806" max="12806" width="16" style="6" customWidth="1"/>
    <col min="12807" max="12807" width="19.33203125" style="6" customWidth="1"/>
    <col min="12808" max="12808" width="15" style="6" customWidth="1"/>
    <col min="12809" max="12809" width="9.6640625" style="6" bestFit="1" customWidth="1"/>
    <col min="12810" max="13056" width="8.6640625" style="6"/>
    <col min="13057" max="13058" width="10.6640625" style="6" customWidth="1"/>
    <col min="13059" max="13059" width="36.6640625" style="6" customWidth="1"/>
    <col min="13060" max="13060" width="35.44140625" style="6" customWidth="1"/>
    <col min="13061" max="13061" width="14.109375" style="6" customWidth="1"/>
    <col min="13062" max="13062" width="16" style="6" customWidth="1"/>
    <col min="13063" max="13063" width="19.33203125" style="6" customWidth="1"/>
    <col min="13064" max="13064" width="15" style="6" customWidth="1"/>
    <col min="13065" max="13065" width="9.6640625" style="6" bestFit="1" customWidth="1"/>
    <col min="13066" max="13312" width="8.6640625" style="6"/>
    <col min="13313" max="13314" width="10.6640625" style="6" customWidth="1"/>
    <col min="13315" max="13315" width="36.6640625" style="6" customWidth="1"/>
    <col min="13316" max="13316" width="35.44140625" style="6" customWidth="1"/>
    <col min="13317" max="13317" width="14.109375" style="6" customWidth="1"/>
    <col min="13318" max="13318" width="16" style="6" customWidth="1"/>
    <col min="13319" max="13319" width="19.33203125" style="6" customWidth="1"/>
    <col min="13320" max="13320" width="15" style="6" customWidth="1"/>
    <col min="13321" max="13321" width="9.6640625" style="6" bestFit="1" customWidth="1"/>
    <col min="13322" max="13568" width="8.6640625" style="6"/>
    <col min="13569" max="13570" width="10.6640625" style="6" customWidth="1"/>
    <col min="13571" max="13571" width="36.6640625" style="6" customWidth="1"/>
    <col min="13572" max="13572" width="35.44140625" style="6" customWidth="1"/>
    <col min="13573" max="13573" width="14.109375" style="6" customWidth="1"/>
    <col min="13574" max="13574" width="16" style="6" customWidth="1"/>
    <col min="13575" max="13575" width="19.33203125" style="6" customWidth="1"/>
    <col min="13576" max="13576" width="15" style="6" customWidth="1"/>
    <col min="13577" max="13577" width="9.6640625" style="6" bestFit="1" customWidth="1"/>
    <col min="13578" max="13824" width="8.6640625" style="6"/>
    <col min="13825" max="13826" width="10.6640625" style="6" customWidth="1"/>
    <col min="13827" max="13827" width="36.6640625" style="6" customWidth="1"/>
    <col min="13828" max="13828" width="35.44140625" style="6" customWidth="1"/>
    <col min="13829" max="13829" width="14.109375" style="6" customWidth="1"/>
    <col min="13830" max="13830" width="16" style="6" customWidth="1"/>
    <col min="13831" max="13831" width="19.33203125" style="6" customWidth="1"/>
    <col min="13832" max="13832" width="15" style="6" customWidth="1"/>
    <col min="13833" max="13833" width="9.6640625" style="6" bestFit="1" customWidth="1"/>
    <col min="13834" max="14080" width="8.6640625" style="6"/>
    <col min="14081" max="14082" width="10.6640625" style="6" customWidth="1"/>
    <col min="14083" max="14083" width="36.6640625" style="6" customWidth="1"/>
    <col min="14084" max="14084" width="35.44140625" style="6" customWidth="1"/>
    <col min="14085" max="14085" width="14.109375" style="6" customWidth="1"/>
    <col min="14086" max="14086" width="16" style="6" customWidth="1"/>
    <col min="14087" max="14087" width="19.33203125" style="6" customWidth="1"/>
    <col min="14088" max="14088" width="15" style="6" customWidth="1"/>
    <col min="14089" max="14089" width="9.6640625" style="6" bestFit="1" customWidth="1"/>
    <col min="14090" max="14336" width="8.6640625" style="6"/>
    <col min="14337" max="14338" width="10.6640625" style="6" customWidth="1"/>
    <col min="14339" max="14339" width="36.6640625" style="6" customWidth="1"/>
    <col min="14340" max="14340" width="35.44140625" style="6" customWidth="1"/>
    <col min="14341" max="14341" width="14.109375" style="6" customWidth="1"/>
    <col min="14342" max="14342" width="16" style="6" customWidth="1"/>
    <col min="14343" max="14343" width="19.33203125" style="6" customWidth="1"/>
    <col min="14344" max="14344" width="15" style="6" customWidth="1"/>
    <col min="14345" max="14345" width="9.6640625" style="6" bestFit="1" customWidth="1"/>
    <col min="14346" max="14592" width="8.6640625" style="6"/>
    <col min="14593" max="14594" width="10.6640625" style="6" customWidth="1"/>
    <col min="14595" max="14595" width="36.6640625" style="6" customWidth="1"/>
    <col min="14596" max="14596" width="35.44140625" style="6" customWidth="1"/>
    <col min="14597" max="14597" width="14.109375" style="6" customWidth="1"/>
    <col min="14598" max="14598" width="16" style="6" customWidth="1"/>
    <col min="14599" max="14599" width="19.33203125" style="6" customWidth="1"/>
    <col min="14600" max="14600" width="15" style="6" customWidth="1"/>
    <col min="14601" max="14601" width="9.6640625" style="6" bestFit="1" customWidth="1"/>
    <col min="14602" max="14848" width="8.6640625" style="6"/>
    <col min="14849" max="14850" width="10.6640625" style="6" customWidth="1"/>
    <col min="14851" max="14851" width="36.6640625" style="6" customWidth="1"/>
    <col min="14852" max="14852" width="35.44140625" style="6" customWidth="1"/>
    <col min="14853" max="14853" width="14.109375" style="6" customWidth="1"/>
    <col min="14854" max="14854" width="16" style="6" customWidth="1"/>
    <col min="14855" max="14855" width="19.33203125" style="6" customWidth="1"/>
    <col min="14856" max="14856" width="15" style="6" customWidth="1"/>
    <col min="14857" max="14857" width="9.6640625" style="6" bestFit="1" customWidth="1"/>
    <col min="14858" max="15104" width="8.6640625" style="6"/>
    <col min="15105" max="15106" width="10.6640625" style="6" customWidth="1"/>
    <col min="15107" max="15107" width="36.6640625" style="6" customWidth="1"/>
    <col min="15108" max="15108" width="35.44140625" style="6" customWidth="1"/>
    <col min="15109" max="15109" width="14.109375" style="6" customWidth="1"/>
    <col min="15110" max="15110" width="16" style="6" customWidth="1"/>
    <col min="15111" max="15111" width="19.33203125" style="6" customWidth="1"/>
    <col min="15112" max="15112" width="15" style="6" customWidth="1"/>
    <col min="15113" max="15113" width="9.6640625" style="6" bestFit="1" customWidth="1"/>
    <col min="15114" max="15360" width="8.6640625" style="6"/>
    <col min="15361" max="15362" width="10.6640625" style="6" customWidth="1"/>
    <col min="15363" max="15363" width="36.6640625" style="6" customWidth="1"/>
    <col min="15364" max="15364" width="35.44140625" style="6" customWidth="1"/>
    <col min="15365" max="15365" width="14.109375" style="6" customWidth="1"/>
    <col min="15366" max="15366" width="16" style="6" customWidth="1"/>
    <col min="15367" max="15367" width="19.33203125" style="6" customWidth="1"/>
    <col min="15368" max="15368" width="15" style="6" customWidth="1"/>
    <col min="15369" max="15369" width="9.6640625" style="6" bestFit="1" customWidth="1"/>
    <col min="15370" max="15616" width="8.6640625" style="6"/>
    <col min="15617" max="15618" width="10.6640625" style="6" customWidth="1"/>
    <col min="15619" max="15619" width="36.6640625" style="6" customWidth="1"/>
    <col min="15620" max="15620" width="35.44140625" style="6" customWidth="1"/>
    <col min="15621" max="15621" width="14.109375" style="6" customWidth="1"/>
    <col min="15622" max="15622" width="16" style="6" customWidth="1"/>
    <col min="15623" max="15623" width="19.33203125" style="6" customWidth="1"/>
    <col min="15624" max="15624" width="15" style="6" customWidth="1"/>
    <col min="15625" max="15625" width="9.6640625" style="6" bestFit="1" customWidth="1"/>
    <col min="15626" max="15872" width="8.6640625" style="6"/>
    <col min="15873" max="15874" width="10.6640625" style="6" customWidth="1"/>
    <col min="15875" max="15875" width="36.6640625" style="6" customWidth="1"/>
    <col min="15876" max="15876" width="35.44140625" style="6" customWidth="1"/>
    <col min="15877" max="15877" width="14.109375" style="6" customWidth="1"/>
    <col min="15878" max="15878" width="16" style="6" customWidth="1"/>
    <col min="15879" max="15879" width="19.33203125" style="6" customWidth="1"/>
    <col min="15880" max="15880" width="15" style="6" customWidth="1"/>
    <col min="15881" max="15881" width="9.6640625" style="6" bestFit="1" customWidth="1"/>
    <col min="15882" max="16128" width="8.6640625" style="6"/>
    <col min="16129" max="16130" width="10.6640625" style="6" customWidth="1"/>
    <col min="16131" max="16131" width="36.6640625" style="6" customWidth="1"/>
    <col min="16132" max="16132" width="35.44140625" style="6" customWidth="1"/>
    <col min="16133" max="16133" width="14.109375" style="6" customWidth="1"/>
    <col min="16134" max="16134" width="16" style="6" customWidth="1"/>
    <col min="16135" max="16135" width="19.33203125" style="6" customWidth="1"/>
    <col min="16136" max="16136" width="15" style="6" customWidth="1"/>
    <col min="16137" max="16137" width="9.6640625" style="6" bestFit="1" customWidth="1"/>
    <col min="16138" max="16384" width="8.6640625" style="6"/>
  </cols>
  <sheetData>
    <row r="1" spans="1:10" ht="16.2" thickBot="1">
      <c r="A1" s="367" t="s">
        <v>263</v>
      </c>
      <c r="B1" s="368"/>
      <c r="C1" s="368"/>
      <c r="D1" s="368"/>
      <c r="E1" s="368"/>
      <c r="F1" s="368"/>
      <c r="G1" s="369"/>
    </row>
    <row r="2" spans="1:10" ht="16.2" thickBot="1">
      <c r="A2" s="379"/>
      <c r="B2" s="380"/>
      <c r="C2" s="370"/>
      <c r="D2" s="371"/>
      <c r="E2" s="372"/>
      <c r="F2" s="373" t="s">
        <v>226</v>
      </c>
      <c r="G2" s="374"/>
      <c r="J2" s="8"/>
    </row>
    <row r="3" spans="1:10" ht="16.2" thickBot="1">
      <c r="A3" s="381"/>
      <c r="B3" s="382"/>
      <c r="C3" s="377"/>
      <c r="D3" s="377"/>
      <c r="E3" s="378"/>
      <c r="F3" s="375"/>
      <c r="G3" s="376"/>
      <c r="H3" s="9"/>
      <c r="J3" s="10"/>
    </row>
    <row r="4" spans="1:10">
      <c r="A4" s="11"/>
      <c r="B4" s="11"/>
      <c r="C4" s="12"/>
      <c r="D4" s="13"/>
      <c r="E4" s="11"/>
      <c r="F4" s="11"/>
      <c r="G4" s="11"/>
    </row>
    <row r="5" spans="1:10" ht="15" thickBot="1">
      <c r="A5" s="14"/>
      <c r="B5" s="14"/>
      <c r="C5" s="14"/>
      <c r="D5" s="15"/>
      <c r="E5" s="14"/>
      <c r="F5" s="14"/>
      <c r="G5" s="14"/>
      <c r="H5" s="16"/>
      <c r="J5" s="17"/>
    </row>
    <row r="6" spans="1:10" ht="31.5" customHeight="1">
      <c r="A6" s="18" t="s">
        <v>3</v>
      </c>
      <c r="B6" s="19" t="s">
        <v>4</v>
      </c>
      <c r="C6" s="20" t="s">
        <v>5</v>
      </c>
      <c r="D6" s="20" t="s">
        <v>6</v>
      </c>
      <c r="E6" s="21" t="s">
        <v>7</v>
      </c>
      <c r="F6" s="21" t="s">
        <v>8</v>
      </c>
      <c r="G6" s="22" t="s">
        <v>9</v>
      </c>
      <c r="H6" s="23"/>
      <c r="I6" s="123"/>
      <c r="J6" s="24"/>
    </row>
    <row r="7" spans="1:10">
      <c r="A7" s="25"/>
      <c r="B7" s="26"/>
      <c r="C7" s="27" t="s">
        <v>227</v>
      </c>
      <c r="D7" s="28"/>
      <c r="E7" s="27"/>
      <c r="F7" s="27"/>
      <c r="G7" s="29">
        <f>G9+G12+G16+G21+G26</f>
        <v>131257.19354043333</v>
      </c>
      <c r="H7" s="23"/>
      <c r="J7" s="30"/>
    </row>
    <row r="8" spans="1:10">
      <c r="A8" s="25"/>
      <c r="B8" s="26">
        <v>1</v>
      </c>
      <c r="C8" s="132" t="s">
        <v>11</v>
      </c>
      <c r="D8" s="99"/>
      <c r="E8" s="31"/>
      <c r="F8" s="32"/>
      <c r="G8" s="133"/>
      <c r="J8" s="33"/>
    </row>
    <row r="9" spans="1:10">
      <c r="A9" s="25"/>
      <c r="B9" s="26" t="s">
        <v>12</v>
      </c>
      <c r="C9" s="132" t="s">
        <v>13</v>
      </c>
      <c r="D9" s="99"/>
      <c r="E9" s="31"/>
      <c r="F9" s="32"/>
      <c r="G9" s="133">
        <f>G10</f>
        <v>2849.7033333333334</v>
      </c>
      <c r="J9" s="33"/>
    </row>
    <row r="10" spans="1:10">
      <c r="A10" s="34"/>
      <c r="B10" s="35" t="s">
        <v>14</v>
      </c>
      <c r="C10" s="134" t="s">
        <v>15</v>
      </c>
      <c r="D10" s="38" t="s">
        <v>35</v>
      </c>
      <c r="E10" s="31">
        <f>1/12</f>
        <v>8.3333333333333329E-2</v>
      </c>
      <c r="F10" s="44">
        <f>'Custo mao de obra Dnit'!Z12</f>
        <v>34196.44</v>
      </c>
      <c r="G10" s="135">
        <f>E10*F10</f>
        <v>2849.7033333333334</v>
      </c>
      <c r="I10" s="124"/>
      <c r="J10" s="33"/>
    </row>
    <row r="11" spans="1:10">
      <c r="A11" s="25"/>
      <c r="B11" s="26"/>
      <c r="C11" s="132"/>
      <c r="D11" s="99"/>
      <c r="E11" s="31"/>
      <c r="F11" s="32"/>
      <c r="G11" s="133"/>
      <c r="J11" s="33"/>
    </row>
    <row r="12" spans="1:10">
      <c r="A12" s="25"/>
      <c r="B12" s="26" t="s">
        <v>16</v>
      </c>
      <c r="C12" s="37" t="s">
        <v>0</v>
      </c>
      <c r="D12" s="38"/>
      <c r="E12" s="31"/>
      <c r="F12" s="136"/>
      <c r="G12" s="137">
        <f>SUM(G13:G13)</f>
        <v>28623.25</v>
      </c>
      <c r="J12" s="33"/>
    </row>
    <row r="13" spans="1:10">
      <c r="A13" s="34"/>
      <c r="B13" s="35" t="s">
        <v>17</v>
      </c>
      <c r="C13" s="40" t="s">
        <v>1</v>
      </c>
      <c r="D13" s="38" t="s">
        <v>35</v>
      </c>
      <c r="E13" s="31">
        <v>1</v>
      </c>
      <c r="F13" s="44">
        <f>VLOOKUP(C13,'Custo mao de obra Dnit'!A13:Z13,26,0)</f>
        <v>28623.25</v>
      </c>
      <c r="G13" s="135">
        <f>E13*F13</f>
        <v>28623.25</v>
      </c>
      <c r="I13" s="124"/>
      <c r="J13" s="33"/>
    </row>
    <row r="14" spans="1:10">
      <c r="A14" s="34"/>
      <c r="B14" s="35"/>
      <c r="C14" s="40"/>
      <c r="D14" s="38"/>
      <c r="E14" s="31"/>
      <c r="F14" s="138"/>
      <c r="G14" s="135"/>
      <c r="J14" s="33"/>
    </row>
    <row r="15" spans="1:10">
      <c r="A15" s="34"/>
      <c r="B15" s="35"/>
      <c r="C15" s="139"/>
      <c r="D15" s="41"/>
      <c r="E15" s="31"/>
      <c r="F15" s="44"/>
      <c r="G15" s="137"/>
      <c r="J15" s="33"/>
    </row>
    <row r="16" spans="1:10">
      <c r="A16" s="25"/>
      <c r="B16" s="26">
        <v>2</v>
      </c>
      <c r="C16" s="37" t="s">
        <v>228</v>
      </c>
      <c r="D16" s="42"/>
      <c r="E16" s="43"/>
      <c r="F16" s="45"/>
      <c r="G16" s="137">
        <f>SUM(G17:G19)</f>
        <v>31114.517499999998</v>
      </c>
      <c r="H16" s="46"/>
      <c r="J16" s="33"/>
    </row>
    <row r="17" spans="1:11">
      <c r="A17" s="34"/>
      <c r="B17" s="35" t="s">
        <v>18</v>
      </c>
      <c r="C17" s="47" t="s">
        <v>128</v>
      </c>
      <c r="D17" s="38" t="s">
        <v>21</v>
      </c>
      <c r="E17" s="31">
        <v>1</v>
      </c>
      <c r="F17" s="44">
        <f>28752.5/12</f>
        <v>2396.0416666666665</v>
      </c>
      <c r="G17" s="135">
        <f>softwares!E5</f>
        <v>2396.0416666666665</v>
      </c>
      <c r="I17" s="125"/>
      <c r="J17" s="33"/>
    </row>
    <row r="18" spans="1:11">
      <c r="A18" s="34"/>
      <c r="B18" s="35" t="s">
        <v>20</v>
      </c>
      <c r="C18" s="47" t="s">
        <v>129</v>
      </c>
      <c r="D18" s="38" t="s">
        <v>21</v>
      </c>
      <c r="E18" s="31">
        <v>1</v>
      </c>
      <c r="F18" s="44">
        <f>28344.21/12</f>
        <v>2362.0174999999999</v>
      </c>
      <c r="G18" s="135">
        <f>softwares!E6</f>
        <v>2362.0174999999999</v>
      </c>
      <c r="I18" s="125"/>
      <c r="J18" s="33"/>
    </row>
    <row r="19" spans="1:11">
      <c r="A19" s="34"/>
      <c r="B19" s="35" t="s">
        <v>229</v>
      </c>
      <c r="C19" s="47" t="s">
        <v>130</v>
      </c>
      <c r="D19" s="38" t="s">
        <v>21</v>
      </c>
      <c r="E19" s="31">
        <v>1</v>
      </c>
      <c r="F19" s="44">
        <f>316277.5/12</f>
        <v>26356.458333333332</v>
      </c>
      <c r="G19" s="135">
        <f>softwares!E7</f>
        <v>26356.458333333332</v>
      </c>
      <c r="I19" s="125"/>
      <c r="J19" s="33"/>
    </row>
    <row r="20" spans="1:11">
      <c r="A20" s="34"/>
      <c r="B20" s="35"/>
      <c r="C20" s="40"/>
      <c r="D20" s="41"/>
      <c r="E20" s="49"/>
      <c r="F20" s="44"/>
      <c r="G20" s="137"/>
      <c r="J20" s="33"/>
    </row>
    <row r="21" spans="1:11">
      <c r="A21" s="25"/>
      <c r="B21" s="26">
        <v>3</v>
      </c>
      <c r="C21" s="32" t="s">
        <v>230</v>
      </c>
      <c r="D21" s="42"/>
      <c r="E21" s="42"/>
      <c r="F21" s="45"/>
      <c r="G21" s="137">
        <f>SUM(G22:G24)</f>
        <v>17000.931749999996</v>
      </c>
      <c r="J21" s="33"/>
    </row>
    <row r="22" spans="1:11">
      <c r="A22" s="34"/>
      <c r="B22" s="35" t="s">
        <v>22</v>
      </c>
      <c r="C22" s="47" t="s">
        <v>215</v>
      </c>
      <c r="D22" s="50" t="s">
        <v>35</v>
      </c>
      <c r="E22" s="31">
        <v>1</v>
      </c>
      <c r="F22" s="44">
        <f>'calculo custos diversos'!C18</f>
        <v>3567.5517499999996</v>
      </c>
      <c r="G22" s="135">
        <f>E22*F22</f>
        <v>3567.5517499999996</v>
      </c>
      <c r="I22" s="124"/>
      <c r="J22" s="33"/>
    </row>
    <row r="23" spans="1:11">
      <c r="A23" s="34"/>
      <c r="B23" s="35" t="s">
        <v>23</v>
      </c>
      <c r="C23" s="47" t="s">
        <v>211</v>
      </c>
      <c r="D23" s="50" t="s">
        <v>35</v>
      </c>
      <c r="E23" s="31">
        <v>1</v>
      </c>
      <c r="F23" s="44">
        <f>'calculo custos diversos'!C19</f>
        <v>9919.4399999999987</v>
      </c>
      <c r="G23" s="135">
        <f>E23*F23</f>
        <v>9919.4399999999987</v>
      </c>
      <c r="I23" s="124"/>
      <c r="J23" s="33"/>
    </row>
    <row r="24" spans="1:11">
      <c r="A24" s="34"/>
      <c r="B24" s="35" t="s">
        <v>231</v>
      </c>
      <c r="C24" s="40" t="s">
        <v>266</v>
      </c>
      <c r="D24" s="241" t="s">
        <v>35</v>
      </c>
      <c r="E24" s="233">
        <v>1</v>
      </c>
      <c r="F24" s="44">
        <f>'calculo custos diversos'!C20</f>
        <v>3513.94</v>
      </c>
      <c r="G24" s="249">
        <f>F24</f>
        <v>3513.94</v>
      </c>
      <c r="I24" s="124"/>
    </row>
    <row r="25" spans="1:11" s="230" customFormat="1">
      <c r="A25" s="234"/>
      <c r="B25" s="235"/>
      <c r="C25" s="239"/>
      <c r="D25" s="41"/>
      <c r="E25" s="49"/>
      <c r="F25" s="44"/>
      <c r="G25" s="250"/>
      <c r="I25" s="124"/>
      <c r="J25" s="231"/>
      <c r="K25" s="231"/>
    </row>
    <row r="26" spans="1:11">
      <c r="A26" s="34"/>
      <c r="B26" s="232">
        <v>4</v>
      </c>
      <c r="C26" s="237" t="s">
        <v>201</v>
      </c>
      <c r="D26" s="41"/>
      <c r="E26" s="49"/>
      <c r="F26" s="44"/>
      <c r="G26" s="250">
        <f>SUM(G27:G29)</f>
        <v>51668.790957099998</v>
      </c>
      <c r="J26" s="33"/>
    </row>
    <row r="27" spans="1:11" ht="26.4">
      <c r="A27" s="25"/>
      <c r="B27" s="26"/>
      <c r="C27" s="257" t="s">
        <v>223</v>
      </c>
      <c r="D27" s="49" t="s">
        <v>19</v>
      </c>
      <c r="E27" s="258">
        <f>$G$9+$G$12+$G$16+$G$21</f>
        <v>79588.402583333329</v>
      </c>
      <c r="F27" s="246">
        <f>'Custos diversos e BDI - DNIT'!$D$30/100</f>
        <v>0.11110000000000002</v>
      </c>
      <c r="G27" s="249">
        <f>SUM(G28:G29)</f>
        <v>25834.395478549999</v>
      </c>
      <c r="J27" s="33"/>
    </row>
    <row r="28" spans="1:11">
      <c r="A28" s="34"/>
      <c r="B28" s="35"/>
      <c r="C28" s="40" t="s">
        <v>224</v>
      </c>
      <c r="D28" s="49" t="s">
        <v>19</v>
      </c>
      <c r="E28" s="258">
        <f t="shared" ref="E28:E29" si="0">$G$9+$G$12+$G$16+$G$21</f>
        <v>79588.402583333329</v>
      </c>
      <c r="F28" s="246">
        <f>'Custos diversos e BDI - DNIT'!$D$33/100</f>
        <v>0.12</v>
      </c>
      <c r="G28" s="249">
        <f>E28*F28</f>
        <v>9550.6083099999996</v>
      </c>
      <c r="J28" s="33"/>
    </row>
    <row r="29" spans="1:11">
      <c r="A29" s="34"/>
      <c r="B29" s="35"/>
      <c r="C29" s="40" t="s">
        <v>225</v>
      </c>
      <c r="D29" s="49" t="s">
        <v>19</v>
      </c>
      <c r="E29" s="258">
        <f t="shared" si="0"/>
        <v>79588.402583333329</v>
      </c>
      <c r="F29" s="246">
        <f>'Custos diversos e BDI - DNIT'!$D$38/100</f>
        <v>0.2046</v>
      </c>
      <c r="G29" s="249">
        <f>E29*F29</f>
        <v>16283.787168549999</v>
      </c>
      <c r="J29" s="33"/>
    </row>
    <row r="30" spans="1:11">
      <c r="A30" s="34"/>
      <c r="B30" s="35"/>
      <c r="C30" s="48"/>
      <c r="D30" s="49"/>
      <c r="E30" s="49"/>
      <c r="F30" s="49"/>
      <c r="G30" s="36"/>
      <c r="J30" s="33"/>
    </row>
    <row r="31" spans="1:11" ht="15" thickBot="1">
      <c r="A31" s="51"/>
      <c r="B31" s="52"/>
      <c r="C31" s="366" t="s">
        <v>24</v>
      </c>
      <c r="D31" s="366"/>
      <c r="E31" s="366"/>
      <c r="F31" s="366"/>
      <c r="G31" s="53">
        <f>G7</f>
        <v>131257.19354043333</v>
      </c>
      <c r="H31" s="54"/>
      <c r="I31" s="126"/>
      <c r="J31" s="33"/>
    </row>
    <row r="32" spans="1:11" ht="15" thickBot="1">
      <c r="A32" s="51"/>
      <c r="B32" s="52"/>
      <c r="C32" s="366" t="s">
        <v>25</v>
      </c>
      <c r="D32" s="366"/>
      <c r="E32" s="366"/>
      <c r="F32" s="366"/>
      <c r="G32" s="53">
        <f>G31*12</f>
        <v>1575086.3224852001</v>
      </c>
      <c r="H32" s="55"/>
      <c r="I32" s="127"/>
      <c r="J32" s="33"/>
    </row>
    <row r="33" spans="1:9">
      <c r="A33" s="277" t="s">
        <v>265</v>
      </c>
      <c r="B33" s="56"/>
      <c r="C33" s="56"/>
      <c r="D33" s="57"/>
      <c r="E33" s="56"/>
      <c r="F33" s="56"/>
      <c r="G33" s="56"/>
    </row>
    <row r="34" spans="1:9" ht="15" thickBot="1"/>
    <row r="35" spans="1:9" ht="15.6">
      <c r="A35" s="363" t="s">
        <v>26</v>
      </c>
      <c r="B35" s="363"/>
      <c r="C35" s="363"/>
      <c r="D35" s="363"/>
      <c r="E35" s="363"/>
      <c r="F35" s="363"/>
      <c r="G35" s="363"/>
    </row>
    <row r="36" spans="1:9" ht="15" thickBot="1">
      <c r="A36" s="59"/>
      <c r="B36" s="59"/>
      <c r="C36" s="60"/>
      <c r="D36" s="60"/>
      <c r="E36" s="60"/>
      <c r="F36" s="61"/>
    </row>
    <row r="37" spans="1:9">
      <c r="A37" s="364" t="s">
        <v>3</v>
      </c>
      <c r="B37" s="365"/>
      <c r="C37" s="62" t="s">
        <v>5</v>
      </c>
      <c r="D37" s="63"/>
      <c r="E37" s="64" t="s">
        <v>27</v>
      </c>
      <c r="F37" s="64" t="s">
        <v>72</v>
      </c>
      <c r="G37" s="65" t="s">
        <v>29</v>
      </c>
    </row>
    <row r="38" spans="1:9" ht="32.25" customHeight="1">
      <c r="A38" s="355" t="s">
        <v>36</v>
      </c>
      <c r="B38" s="356"/>
      <c r="C38" s="153" t="str">
        <f>'Relatorios por grupo de produto'!B99</f>
        <v>ELABORAÇÃO DE DOCUMENTOS PARA AUDIÊNCIA PÚBLICA DOS PROJETOS DE CONCESSÃO E PRORROGAÇÕES ANTECIPADAS</v>
      </c>
      <c r="D38" s="141"/>
      <c r="E38" s="260">
        <f>'Relatorios por grupo de produto'!D99</f>
        <v>1</v>
      </c>
      <c r="F38" s="261">
        <f>'Relatorios por grupo de produto'!D25</f>
        <v>1261.3333333333335</v>
      </c>
      <c r="G38" s="262">
        <f>F38*E38</f>
        <v>1261.3333333333335</v>
      </c>
      <c r="H38" s="46"/>
      <c r="I38" s="259"/>
    </row>
    <row r="39" spans="1:9" ht="33" customHeight="1">
      <c r="A39" s="355" t="s">
        <v>37</v>
      </c>
      <c r="B39" s="356"/>
      <c r="C39" s="153" t="str">
        <f>'Relatorios por grupo de produto'!B100</f>
        <v>AJUSTES DE DOCUMENTOS APÓS AUDIÊNCIA PÚBLICA DOS PROJETOS DE CONCESSÃO E PRORROGAÇÕES ANTECIPADAS</v>
      </c>
      <c r="D39" s="141"/>
      <c r="E39" s="260">
        <f>'Relatorios por grupo de produto'!D100</f>
        <v>1</v>
      </c>
      <c r="F39" s="261">
        <f>'Relatorios por grupo de produto'!D50</f>
        <v>1271.1111111111109</v>
      </c>
      <c r="G39" s="262">
        <f>F39*E39</f>
        <v>1271.1111111111109</v>
      </c>
      <c r="H39" s="46"/>
      <c r="I39" s="259"/>
    </row>
    <row r="40" spans="1:9" ht="40.5" customHeight="1">
      <c r="A40" s="355" t="s">
        <v>48</v>
      </c>
      <c r="B40" s="356"/>
      <c r="C40" s="153" t="str">
        <f>'Relatorios por grupo de produto'!B101</f>
        <v>AJUSTES DE DOCUMENTOS DURANTE E APÓS ANÁLISE PELO TRIBUNAL DE CONTAS DA UNIÃO DOS PROJETOS DE CONCESSÃO E PRORROGAÇÕES ANTECIPADAS</v>
      </c>
      <c r="D40" s="141"/>
      <c r="E40" s="260">
        <f>'Relatorios por grupo de produto'!D101</f>
        <v>1</v>
      </c>
      <c r="F40" s="261">
        <f>'Relatorios por grupo de produto'!D75</f>
        <v>752.8888888888888</v>
      </c>
      <c r="G40" s="262">
        <f>F40*E40</f>
        <v>752.8888888888888</v>
      </c>
      <c r="H40" s="46"/>
      <c r="I40" s="259"/>
    </row>
    <row r="41" spans="1:9" ht="29.25" customHeight="1">
      <c r="A41" s="355" t="s">
        <v>38</v>
      </c>
      <c r="B41" s="356"/>
      <c r="C41" s="153" t="str">
        <f>'Relatorios por grupo de produto'!B102</f>
        <v>ELABORAÇÃO DE CRONOGRAMA PARA GESTÃO DE PROJETOS DE CONCESSÃO E PRORROGAÇÕES ANTECIPADAS</v>
      </c>
      <c r="D41" s="141"/>
      <c r="E41" s="260">
        <f>'Relatorios por grupo de produto'!D102</f>
        <v>1</v>
      </c>
      <c r="F41" s="261">
        <f>'Relatorios por grupo de produto'!D91</f>
        <v>58.666666666666664</v>
      </c>
      <c r="G41" s="262">
        <f>F41*E41</f>
        <v>58.666666666666664</v>
      </c>
      <c r="H41" s="46"/>
      <c r="I41" s="259"/>
    </row>
    <row r="42" spans="1:9">
      <c r="A42" s="355"/>
      <c r="B42" s="356"/>
      <c r="C42" s="140"/>
      <c r="D42" s="141"/>
      <c r="E42" s="72"/>
      <c r="F42" s="74"/>
      <c r="G42" s="73"/>
    </row>
    <row r="43" spans="1:9">
      <c r="A43" s="359"/>
      <c r="B43" s="360"/>
      <c r="C43" s="75"/>
      <c r="D43" s="71"/>
      <c r="E43" s="76"/>
      <c r="F43" s="77" t="s">
        <v>30</v>
      </c>
      <c r="G43" s="78">
        <f>SUM(G38:G42)</f>
        <v>3343.9999999999995</v>
      </c>
    </row>
    <row r="44" spans="1:9">
      <c r="A44" s="359"/>
      <c r="B44" s="360"/>
      <c r="C44" s="75"/>
      <c r="D44" s="71"/>
      <c r="E44" s="76"/>
      <c r="F44" s="76"/>
      <c r="G44" s="79" t="s">
        <v>28</v>
      </c>
    </row>
    <row r="45" spans="1:9">
      <c r="A45" s="359"/>
      <c r="B45" s="360"/>
      <c r="C45" s="80" t="s">
        <v>240</v>
      </c>
      <c r="D45" s="71"/>
      <c r="E45" s="76"/>
      <c r="F45" s="76"/>
      <c r="G45" s="73"/>
    </row>
    <row r="46" spans="1:9">
      <c r="A46" s="359"/>
      <c r="B46" s="360"/>
      <c r="C46" s="80" t="s">
        <v>241</v>
      </c>
      <c r="D46" s="71"/>
      <c r="E46" s="76"/>
      <c r="F46" s="76" t="s">
        <v>31</v>
      </c>
      <c r="G46" s="73">
        <f>G31</f>
        <v>131257.19354043333</v>
      </c>
    </row>
    <row r="47" spans="1:9">
      <c r="A47" s="359"/>
      <c r="B47" s="360"/>
      <c r="C47" s="80" t="s">
        <v>69</v>
      </c>
      <c r="D47" s="71"/>
      <c r="E47" s="76"/>
      <c r="F47" s="76" t="s">
        <v>28</v>
      </c>
      <c r="G47" s="73">
        <f>G43</f>
        <v>3343.9999999999995</v>
      </c>
    </row>
    <row r="48" spans="1:9">
      <c r="A48" s="361"/>
      <c r="B48" s="362"/>
      <c r="C48" s="81" t="s">
        <v>32</v>
      </c>
      <c r="D48" s="82"/>
      <c r="E48" s="83"/>
      <c r="F48" s="83" t="s">
        <v>33</v>
      </c>
      <c r="G48" s="84">
        <f>ROUND(G46/G47,2)</f>
        <v>39.25</v>
      </c>
    </row>
    <row r="49" spans="1:7" ht="15" thickBot="1">
      <c r="A49" s="357"/>
      <c r="B49" s="358"/>
      <c r="C49" s="66"/>
      <c r="D49" s="67"/>
      <c r="E49" s="68"/>
      <c r="F49" s="68"/>
      <c r="G49" s="69"/>
    </row>
  </sheetData>
  <sheetProtection algorithmName="SHA-512" hashValue="QyIOM7dyICyny4ong+n094yjc67+loApxeYKko6Tr9jFe3aKejxlyjku2qb8AkhX3sCMTHL+r+4iKoPVUIA4Xw==" saltValue="gJFbb9DjJzIa2zZixwgnCg==" spinCount="100000" sheet="1" objects="1" scenarios="1"/>
  <mergeCells count="22">
    <mergeCell ref="C32:F32"/>
    <mergeCell ref="A1:G1"/>
    <mergeCell ref="C2:E2"/>
    <mergeCell ref="F2:G3"/>
    <mergeCell ref="C3:E3"/>
    <mergeCell ref="C31:F31"/>
    <mergeCell ref="A2:B2"/>
    <mergeCell ref="A3:B3"/>
    <mergeCell ref="A35:G35"/>
    <mergeCell ref="A37:B37"/>
    <mergeCell ref="A38:B38"/>
    <mergeCell ref="A39:B39"/>
    <mergeCell ref="A40:B40"/>
    <mergeCell ref="A41:B41"/>
    <mergeCell ref="A49:B49"/>
    <mergeCell ref="A42:B42"/>
    <mergeCell ref="A43:B43"/>
    <mergeCell ref="A44:B44"/>
    <mergeCell ref="A45:B45"/>
    <mergeCell ref="A46:B46"/>
    <mergeCell ref="A47:B47"/>
    <mergeCell ref="A48:B48"/>
  </mergeCells>
  <pageMargins left="0.511811024" right="0.511811024" top="0.78740157499999996" bottom="0.78740157499999996" header="0.31496062000000002" footer="0.31496062000000002"/>
  <pageSetup paperSize="9" scale="63" orientation="portrait" r:id="rId1"/>
  <rowBreaks count="1" manualBreakCount="1">
    <brk id="33"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5"/>
  <sheetViews>
    <sheetView showGridLines="0" zoomScale="70" zoomScaleNormal="70" workbookViewId="0">
      <pane xSplit="5" ySplit="1" topLeftCell="F2" activePane="bottomRight" state="frozen"/>
      <selection pane="topRight" activeCell="F1" sqref="F1"/>
      <selection pane="bottomLeft" activeCell="A2" sqref="A2"/>
      <selection pane="bottomRight" activeCell="F2" sqref="F2"/>
    </sheetView>
  </sheetViews>
  <sheetFormatPr defaultRowHeight="14.4"/>
  <cols>
    <col min="1" max="1" width="13.33203125" customWidth="1"/>
    <col min="2" max="2" width="10.6640625" customWidth="1"/>
    <col min="3" max="3" width="21.109375" customWidth="1"/>
    <col min="4" max="4" width="43.6640625" style="183" customWidth="1"/>
    <col min="5" max="5" width="40.109375" style="183" customWidth="1"/>
    <col min="6" max="6" width="12.6640625" customWidth="1"/>
    <col min="7" max="7" width="12.6640625" style="183" customWidth="1"/>
    <col min="8" max="16" width="12.6640625" customWidth="1"/>
    <col min="17" max="17" width="20" customWidth="1"/>
  </cols>
  <sheetData>
    <row r="1" spans="1:17" ht="75" customHeight="1">
      <c r="A1" s="170" t="s">
        <v>76</v>
      </c>
      <c r="B1" s="392" t="s">
        <v>77</v>
      </c>
      <c r="C1" s="393"/>
      <c r="D1" s="170" t="s">
        <v>34</v>
      </c>
      <c r="E1" s="171" t="s">
        <v>78</v>
      </c>
      <c r="F1" s="172" t="s">
        <v>79</v>
      </c>
      <c r="G1" s="172" t="s">
        <v>80</v>
      </c>
      <c r="H1" s="172" t="s">
        <v>81</v>
      </c>
      <c r="I1" s="172" t="s">
        <v>82</v>
      </c>
      <c r="J1" s="172" t="s">
        <v>83</v>
      </c>
      <c r="K1" s="172" t="s">
        <v>84</v>
      </c>
      <c r="L1" s="172" t="s">
        <v>85</v>
      </c>
      <c r="M1" s="172" t="s">
        <v>86</v>
      </c>
      <c r="N1" s="172" t="s">
        <v>87</v>
      </c>
      <c r="O1" s="172" t="s">
        <v>88</v>
      </c>
      <c r="P1" s="172" t="s">
        <v>89</v>
      </c>
      <c r="Q1" s="172" t="s">
        <v>90</v>
      </c>
    </row>
    <row r="2" spans="1:17" ht="20.100000000000001" customHeight="1">
      <c r="A2" s="388" t="s">
        <v>91</v>
      </c>
      <c r="B2" s="388" t="s">
        <v>92</v>
      </c>
      <c r="C2" s="388" t="s">
        <v>93</v>
      </c>
      <c r="D2" s="394" t="s">
        <v>94</v>
      </c>
      <c r="E2" s="170" t="s">
        <v>95</v>
      </c>
      <c r="F2" s="172">
        <v>1</v>
      </c>
      <c r="G2" s="172">
        <v>1</v>
      </c>
      <c r="H2" s="172">
        <v>4</v>
      </c>
      <c r="I2" s="172">
        <v>2</v>
      </c>
      <c r="J2" s="172"/>
      <c r="K2" s="172"/>
      <c r="L2" s="172"/>
      <c r="M2" s="173"/>
      <c r="N2" s="173"/>
      <c r="O2" s="173"/>
      <c r="P2" s="173"/>
      <c r="Q2" s="388" t="s">
        <v>96</v>
      </c>
    </row>
    <row r="3" spans="1:17" ht="20.100000000000001" customHeight="1">
      <c r="A3" s="389"/>
      <c r="B3" s="389"/>
      <c r="C3" s="389"/>
      <c r="D3" s="395"/>
      <c r="E3" s="174" t="s">
        <v>97</v>
      </c>
      <c r="F3" s="175">
        <v>45</v>
      </c>
      <c r="G3" s="175">
        <v>45</v>
      </c>
      <c r="H3" s="175">
        <v>45</v>
      </c>
      <c r="I3" s="175">
        <v>45</v>
      </c>
      <c r="J3" s="176"/>
      <c r="K3" s="176"/>
      <c r="L3" s="176"/>
      <c r="M3" s="176"/>
      <c r="N3" s="176"/>
      <c r="O3" s="176"/>
      <c r="P3" s="176"/>
      <c r="Q3" s="389"/>
    </row>
    <row r="4" spans="1:17" ht="20.100000000000001" customHeight="1">
      <c r="A4" s="389"/>
      <c r="B4" s="389"/>
      <c r="C4" s="389"/>
      <c r="D4" s="395"/>
      <c r="E4" s="174" t="s">
        <v>98</v>
      </c>
      <c r="F4" s="175">
        <v>30</v>
      </c>
      <c r="G4" s="175">
        <v>30</v>
      </c>
      <c r="H4" s="175">
        <v>30</v>
      </c>
      <c r="I4" s="175">
        <v>30</v>
      </c>
      <c r="J4" s="176"/>
      <c r="K4" s="176"/>
      <c r="L4" s="176"/>
      <c r="M4" s="176"/>
      <c r="N4" s="176"/>
      <c r="O4" s="176"/>
      <c r="P4" s="176"/>
      <c r="Q4" s="389"/>
    </row>
    <row r="5" spans="1:17" ht="20.100000000000001" customHeight="1">
      <c r="A5" s="390"/>
      <c r="B5" s="390"/>
      <c r="C5" s="390"/>
      <c r="D5" s="396"/>
      <c r="E5" s="174" t="s">
        <v>99</v>
      </c>
      <c r="F5" s="175">
        <v>15</v>
      </c>
      <c r="G5" s="175">
        <v>15</v>
      </c>
      <c r="H5" s="175">
        <v>15</v>
      </c>
      <c r="I5" s="175">
        <v>15</v>
      </c>
      <c r="J5" s="176"/>
      <c r="K5" s="176"/>
      <c r="L5" s="176"/>
      <c r="M5" s="176"/>
      <c r="N5" s="176"/>
      <c r="O5" s="176"/>
      <c r="P5" s="176"/>
      <c r="Q5" s="390"/>
    </row>
    <row r="6" spans="1:17" ht="20.100000000000001" customHeight="1">
      <c r="A6" s="388" t="s">
        <v>91</v>
      </c>
      <c r="B6" s="388" t="s">
        <v>100</v>
      </c>
      <c r="C6" s="388" t="s">
        <v>101</v>
      </c>
      <c r="D6" s="394" t="s">
        <v>102</v>
      </c>
      <c r="E6" s="170" t="s">
        <v>95</v>
      </c>
      <c r="F6" s="172"/>
      <c r="G6" s="172"/>
      <c r="H6" s="172"/>
      <c r="I6" s="172"/>
      <c r="J6" s="172">
        <v>1</v>
      </c>
      <c r="K6" s="172">
        <v>1</v>
      </c>
      <c r="L6" s="172"/>
      <c r="M6" s="173"/>
      <c r="N6" s="173"/>
      <c r="O6" s="173"/>
      <c r="P6" s="173"/>
      <c r="Q6" s="388" t="s">
        <v>103</v>
      </c>
    </row>
    <row r="7" spans="1:17" ht="20.100000000000001" customHeight="1">
      <c r="A7" s="389"/>
      <c r="B7" s="389"/>
      <c r="C7" s="389"/>
      <c r="D7" s="395"/>
      <c r="E7" s="174" t="s">
        <v>97</v>
      </c>
      <c r="F7" s="177"/>
      <c r="G7" s="177"/>
      <c r="H7" s="177"/>
      <c r="I7" s="177"/>
      <c r="J7" s="175">
        <v>25</v>
      </c>
      <c r="K7" s="175">
        <v>25</v>
      </c>
      <c r="L7" s="176"/>
      <c r="M7" s="176"/>
      <c r="N7" s="176"/>
      <c r="O7" s="176"/>
      <c r="P7" s="176"/>
      <c r="Q7" s="389"/>
    </row>
    <row r="8" spans="1:17" ht="20.100000000000001" customHeight="1">
      <c r="A8" s="389"/>
      <c r="B8" s="389"/>
      <c r="C8" s="389"/>
      <c r="D8" s="395"/>
      <c r="E8" s="174" t="s">
        <v>98</v>
      </c>
      <c r="F8" s="177"/>
      <c r="G8" s="177"/>
      <c r="H8" s="177"/>
      <c r="I8" s="177"/>
      <c r="J8" s="175">
        <v>20</v>
      </c>
      <c r="K8" s="175">
        <v>20</v>
      </c>
      <c r="L8" s="176"/>
      <c r="M8" s="176"/>
      <c r="N8" s="176"/>
      <c r="O8" s="176"/>
      <c r="P8" s="176"/>
      <c r="Q8" s="389"/>
    </row>
    <row r="9" spans="1:17" ht="20.100000000000001" customHeight="1">
      <c r="A9" s="390"/>
      <c r="B9" s="390"/>
      <c r="C9" s="390"/>
      <c r="D9" s="396"/>
      <c r="E9" s="174" t="s">
        <v>99</v>
      </c>
      <c r="F9" s="177"/>
      <c r="G9" s="177"/>
      <c r="H9" s="177"/>
      <c r="I9" s="177"/>
      <c r="J9" s="175">
        <v>15</v>
      </c>
      <c r="K9" s="175">
        <v>15</v>
      </c>
      <c r="L9" s="176"/>
      <c r="M9" s="176"/>
      <c r="N9" s="176"/>
      <c r="O9" s="176"/>
      <c r="P9" s="176"/>
      <c r="Q9" s="390"/>
    </row>
    <row r="10" spans="1:17" ht="20.100000000000001" customHeight="1">
      <c r="A10" s="388" t="s">
        <v>91</v>
      </c>
      <c r="B10" s="388" t="s">
        <v>104</v>
      </c>
      <c r="C10" s="388" t="s">
        <v>105</v>
      </c>
      <c r="D10" s="394" t="s">
        <v>106</v>
      </c>
      <c r="E10" s="170" t="s">
        <v>95</v>
      </c>
      <c r="F10" s="172"/>
      <c r="G10" s="172"/>
      <c r="H10" s="172">
        <v>2</v>
      </c>
      <c r="I10" s="172"/>
      <c r="J10" s="172"/>
      <c r="K10" s="172"/>
      <c r="L10" s="172"/>
      <c r="M10" s="173"/>
      <c r="N10" s="173"/>
      <c r="O10" s="173"/>
      <c r="P10" s="173"/>
      <c r="Q10" s="388" t="s">
        <v>96</v>
      </c>
    </row>
    <row r="11" spans="1:17" ht="20.100000000000001" customHeight="1">
      <c r="A11" s="389"/>
      <c r="B11" s="389"/>
      <c r="C11" s="389"/>
      <c r="D11" s="395"/>
      <c r="E11" s="174" t="s">
        <v>97</v>
      </c>
      <c r="F11" s="177"/>
      <c r="G11" s="177"/>
      <c r="H11" s="175">
        <v>20</v>
      </c>
      <c r="I11" s="177"/>
      <c r="J11" s="176"/>
      <c r="K11" s="176"/>
      <c r="L11" s="176"/>
      <c r="M11" s="176"/>
      <c r="N11" s="176"/>
      <c r="O11" s="176"/>
      <c r="P11" s="176"/>
      <c r="Q11" s="389"/>
    </row>
    <row r="12" spans="1:17" ht="20.100000000000001" customHeight="1">
      <c r="A12" s="389"/>
      <c r="B12" s="389"/>
      <c r="C12" s="389"/>
      <c r="D12" s="395"/>
      <c r="E12" s="174" t="s">
        <v>98</v>
      </c>
      <c r="F12" s="177"/>
      <c r="G12" s="177"/>
      <c r="H12" s="175">
        <v>15</v>
      </c>
      <c r="I12" s="177"/>
      <c r="J12" s="176"/>
      <c r="K12" s="176"/>
      <c r="L12" s="176"/>
      <c r="M12" s="176"/>
      <c r="N12" s="176"/>
      <c r="O12" s="176"/>
      <c r="P12" s="176"/>
      <c r="Q12" s="389"/>
    </row>
    <row r="13" spans="1:17" ht="20.100000000000001" customHeight="1">
      <c r="A13" s="390"/>
      <c r="B13" s="390"/>
      <c r="C13" s="390"/>
      <c r="D13" s="396"/>
      <c r="E13" s="174" t="s">
        <v>99</v>
      </c>
      <c r="F13" s="177"/>
      <c r="G13" s="177"/>
      <c r="H13" s="175">
        <v>10</v>
      </c>
      <c r="I13" s="177"/>
      <c r="J13" s="176"/>
      <c r="K13" s="176"/>
      <c r="L13" s="176"/>
      <c r="M13" s="176"/>
      <c r="N13" s="176"/>
      <c r="O13" s="176"/>
      <c r="P13" s="176"/>
      <c r="Q13" s="390"/>
    </row>
    <row r="14" spans="1:17" ht="20.100000000000001" customHeight="1">
      <c r="A14" s="388" t="s">
        <v>91</v>
      </c>
      <c r="B14" s="388" t="s">
        <v>107</v>
      </c>
      <c r="C14" s="388" t="s">
        <v>108</v>
      </c>
      <c r="D14" s="394" t="s">
        <v>109</v>
      </c>
      <c r="E14" s="170" t="s">
        <v>95</v>
      </c>
      <c r="F14" s="172"/>
      <c r="G14" s="172"/>
      <c r="H14" s="172"/>
      <c r="I14" s="172"/>
      <c r="J14" s="172"/>
      <c r="K14" s="172"/>
      <c r="L14" s="172">
        <v>1</v>
      </c>
      <c r="M14" s="173"/>
      <c r="N14" s="173"/>
      <c r="O14" s="173"/>
      <c r="P14" s="173"/>
      <c r="Q14" s="388" t="s">
        <v>96</v>
      </c>
    </row>
    <row r="15" spans="1:17" ht="20.100000000000001" customHeight="1">
      <c r="A15" s="389"/>
      <c r="B15" s="389"/>
      <c r="C15" s="389"/>
      <c r="D15" s="395"/>
      <c r="E15" s="174" t="s">
        <v>97</v>
      </c>
      <c r="F15" s="177"/>
      <c r="G15" s="177"/>
      <c r="H15" s="176"/>
      <c r="I15" s="177"/>
      <c r="J15" s="176"/>
      <c r="K15" s="176"/>
      <c r="L15" s="175">
        <v>15</v>
      </c>
      <c r="M15" s="176"/>
      <c r="N15" s="176"/>
      <c r="O15" s="176"/>
      <c r="P15" s="176"/>
      <c r="Q15" s="389"/>
    </row>
    <row r="16" spans="1:17" ht="20.100000000000001" customHeight="1">
      <c r="A16" s="389"/>
      <c r="B16" s="389"/>
      <c r="C16" s="389"/>
      <c r="D16" s="395"/>
      <c r="E16" s="174" t="s">
        <v>98</v>
      </c>
      <c r="F16" s="177"/>
      <c r="G16" s="177"/>
      <c r="H16" s="176"/>
      <c r="I16" s="177"/>
      <c r="J16" s="176"/>
      <c r="K16" s="176"/>
      <c r="L16" s="175">
        <v>10</v>
      </c>
      <c r="M16" s="176"/>
      <c r="N16" s="176"/>
      <c r="O16" s="176"/>
      <c r="P16" s="176"/>
      <c r="Q16" s="389"/>
    </row>
    <row r="17" spans="1:17" ht="20.100000000000001" customHeight="1">
      <c r="A17" s="390"/>
      <c r="B17" s="390"/>
      <c r="C17" s="390"/>
      <c r="D17" s="396"/>
      <c r="E17" s="174" t="s">
        <v>99</v>
      </c>
      <c r="F17" s="177"/>
      <c r="G17" s="177"/>
      <c r="H17" s="176"/>
      <c r="I17" s="177"/>
      <c r="J17" s="176"/>
      <c r="K17" s="176"/>
      <c r="L17" s="175">
        <v>5</v>
      </c>
      <c r="M17" s="176"/>
      <c r="N17" s="176"/>
      <c r="O17" s="176"/>
      <c r="P17" s="176"/>
      <c r="Q17" s="390"/>
    </row>
    <row r="18" spans="1:17" ht="20.100000000000001" customHeight="1">
      <c r="A18" s="388" t="s">
        <v>91</v>
      </c>
      <c r="B18" s="388" t="s">
        <v>110</v>
      </c>
      <c r="C18" s="388" t="s">
        <v>111</v>
      </c>
      <c r="D18" s="394" t="s">
        <v>112</v>
      </c>
      <c r="E18" s="170" t="s">
        <v>95</v>
      </c>
      <c r="F18" s="172"/>
      <c r="G18" s="172"/>
      <c r="H18" s="172"/>
      <c r="I18" s="172"/>
      <c r="J18" s="172"/>
      <c r="K18" s="172">
        <v>1</v>
      </c>
      <c r="L18" s="172"/>
      <c r="M18" s="172"/>
      <c r="N18" s="172"/>
      <c r="O18" s="173"/>
      <c r="P18" s="178">
        <v>1</v>
      </c>
      <c r="Q18" s="388" t="s">
        <v>103</v>
      </c>
    </row>
    <row r="19" spans="1:17" ht="20.100000000000001" customHeight="1">
      <c r="A19" s="389"/>
      <c r="B19" s="389"/>
      <c r="C19" s="389"/>
      <c r="D19" s="395"/>
      <c r="E19" s="174" t="s">
        <v>97</v>
      </c>
      <c r="F19" s="177"/>
      <c r="G19" s="177"/>
      <c r="H19" s="176"/>
      <c r="I19" s="177"/>
      <c r="J19" s="176"/>
      <c r="K19" s="175">
        <v>45</v>
      </c>
      <c r="L19" s="177"/>
      <c r="M19" s="177"/>
      <c r="N19" s="177"/>
      <c r="O19" s="176"/>
      <c r="P19" s="175">
        <v>45</v>
      </c>
      <c r="Q19" s="389"/>
    </row>
    <row r="20" spans="1:17" ht="20.100000000000001" customHeight="1">
      <c r="A20" s="389"/>
      <c r="B20" s="389"/>
      <c r="C20" s="389"/>
      <c r="D20" s="395"/>
      <c r="E20" s="174" t="s">
        <v>98</v>
      </c>
      <c r="F20" s="177"/>
      <c r="G20" s="177"/>
      <c r="H20" s="176"/>
      <c r="I20" s="177"/>
      <c r="J20" s="176"/>
      <c r="K20" s="175">
        <v>30</v>
      </c>
      <c r="L20" s="177"/>
      <c r="M20" s="177"/>
      <c r="N20" s="177"/>
      <c r="O20" s="176"/>
      <c r="P20" s="175">
        <v>30</v>
      </c>
      <c r="Q20" s="389"/>
    </row>
    <row r="21" spans="1:17" ht="20.100000000000001" customHeight="1">
      <c r="A21" s="390"/>
      <c r="B21" s="390"/>
      <c r="C21" s="390"/>
      <c r="D21" s="396"/>
      <c r="E21" s="174" t="s">
        <v>99</v>
      </c>
      <c r="F21" s="177"/>
      <c r="G21" s="177"/>
      <c r="H21" s="176"/>
      <c r="I21" s="177"/>
      <c r="J21" s="176"/>
      <c r="K21" s="175">
        <v>15</v>
      </c>
      <c r="L21" s="177"/>
      <c r="M21" s="177"/>
      <c r="N21" s="177"/>
      <c r="O21" s="176"/>
      <c r="P21" s="175">
        <v>15</v>
      </c>
      <c r="Q21" s="390"/>
    </row>
    <row r="22" spans="1:17" ht="20.100000000000001" customHeight="1">
      <c r="A22" s="388" t="s">
        <v>91</v>
      </c>
      <c r="B22" s="388" t="s">
        <v>113</v>
      </c>
      <c r="C22" s="388" t="s">
        <v>114</v>
      </c>
      <c r="D22" s="394" t="s">
        <v>115</v>
      </c>
      <c r="E22" s="170" t="s">
        <v>95</v>
      </c>
      <c r="F22" s="172"/>
      <c r="G22" s="172"/>
      <c r="H22" s="172"/>
      <c r="I22" s="172"/>
      <c r="J22" s="172">
        <v>1</v>
      </c>
      <c r="K22" s="172"/>
      <c r="L22" s="172"/>
      <c r="M22" s="172">
        <v>1</v>
      </c>
      <c r="N22" s="172">
        <v>1</v>
      </c>
      <c r="O22" s="172">
        <v>1</v>
      </c>
      <c r="P22" s="173"/>
      <c r="Q22" s="388" t="s">
        <v>116</v>
      </c>
    </row>
    <row r="23" spans="1:17" ht="20.100000000000001" customHeight="1">
      <c r="A23" s="389"/>
      <c r="B23" s="389"/>
      <c r="C23" s="389"/>
      <c r="D23" s="395"/>
      <c r="E23" s="174" t="s">
        <v>97</v>
      </c>
      <c r="F23" s="177"/>
      <c r="G23" s="177"/>
      <c r="H23" s="176"/>
      <c r="I23" s="177"/>
      <c r="J23" s="175">
        <v>15</v>
      </c>
      <c r="K23" s="176"/>
      <c r="L23" s="177"/>
      <c r="M23" s="175">
        <v>15</v>
      </c>
      <c r="N23" s="175">
        <v>15</v>
      </c>
      <c r="O23" s="175">
        <v>15</v>
      </c>
      <c r="P23" s="176"/>
      <c r="Q23" s="389"/>
    </row>
    <row r="24" spans="1:17" ht="20.100000000000001" customHeight="1">
      <c r="A24" s="389"/>
      <c r="B24" s="389"/>
      <c r="C24" s="389"/>
      <c r="D24" s="395"/>
      <c r="E24" s="174" t="s">
        <v>98</v>
      </c>
      <c r="F24" s="177"/>
      <c r="G24" s="177"/>
      <c r="H24" s="176"/>
      <c r="I24" s="177"/>
      <c r="J24" s="175">
        <v>45</v>
      </c>
      <c r="K24" s="176"/>
      <c r="L24" s="177"/>
      <c r="M24" s="175">
        <v>45</v>
      </c>
      <c r="N24" s="175">
        <v>45</v>
      </c>
      <c r="O24" s="175">
        <v>45</v>
      </c>
      <c r="P24" s="176"/>
      <c r="Q24" s="389"/>
    </row>
    <row r="25" spans="1:17" ht="20.100000000000001" customHeight="1">
      <c r="A25" s="390"/>
      <c r="B25" s="390"/>
      <c r="C25" s="390"/>
      <c r="D25" s="396"/>
      <c r="E25" s="174" t="s">
        <v>99</v>
      </c>
      <c r="F25" s="177"/>
      <c r="G25" s="177"/>
      <c r="H25" s="176"/>
      <c r="I25" s="177"/>
      <c r="J25" s="175">
        <v>30</v>
      </c>
      <c r="K25" s="176"/>
      <c r="L25" s="177"/>
      <c r="M25" s="175">
        <v>30</v>
      </c>
      <c r="N25" s="175">
        <v>30</v>
      </c>
      <c r="O25" s="175">
        <v>30</v>
      </c>
      <c r="P25" s="176"/>
      <c r="Q25" s="390"/>
    </row>
    <row r="26" spans="1:17" ht="20.100000000000001" customHeight="1">
      <c r="A26" s="397" t="s">
        <v>91</v>
      </c>
      <c r="B26" s="397" t="s">
        <v>117</v>
      </c>
      <c r="C26" s="397" t="s">
        <v>118</v>
      </c>
      <c r="D26" s="400" t="s">
        <v>119</v>
      </c>
      <c r="E26" s="170" t="s">
        <v>95</v>
      </c>
      <c r="F26" s="172"/>
      <c r="G26" s="172"/>
      <c r="H26" s="172">
        <v>1</v>
      </c>
      <c r="I26" s="172"/>
      <c r="J26" s="172"/>
      <c r="K26" s="172"/>
      <c r="L26" s="172"/>
      <c r="M26" s="172">
        <v>1</v>
      </c>
      <c r="N26" s="172"/>
      <c r="O26" s="173"/>
      <c r="P26" s="173"/>
      <c r="Q26" s="388" t="s">
        <v>116</v>
      </c>
    </row>
    <row r="27" spans="1:17" ht="20.100000000000001" customHeight="1">
      <c r="A27" s="398"/>
      <c r="B27" s="398"/>
      <c r="C27" s="398"/>
      <c r="D27" s="401"/>
      <c r="E27" s="174" t="s">
        <v>97</v>
      </c>
      <c r="F27" s="177"/>
      <c r="G27" s="177"/>
      <c r="H27" s="175">
        <v>15</v>
      </c>
      <c r="I27" s="177"/>
      <c r="J27" s="179"/>
      <c r="K27" s="179"/>
      <c r="L27" s="177"/>
      <c r="M27" s="175">
        <v>15</v>
      </c>
      <c r="N27" s="177"/>
      <c r="O27" s="179"/>
      <c r="P27" s="179"/>
      <c r="Q27" s="389"/>
    </row>
    <row r="28" spans="1:17" ht="20.100000000000001" customHeight="1">
      <c r="A28" s="398"/>
      <c r="B28" s="398"/>
      <c r="C28" s="398"/>
      <c r="D28" s="401"/>
      <c r="E28" s="174" t="s">
        <v>98</v>
      </c>
      <c r="F28" s="177"/>
      <c r="G28" s="177"/>
      <c r="H28" s="175">
        <v>45</v>
      </c>
      <c r="I28" s="177"/>
      <c r="J28" s="179"/>
      <c r="K28" s="179"/>
      <c r="L28" s="177"/>
      <c r="M28" s="175">
        <v>45</v>
      </c>
      <c r="N28" s="177"/>
      <c r="O28" s="179"/>
      <c r="P28" s="179"/>
      <c r="Q28" s="389"/>
    </row>
    <row r="29" spans="1:17" ht="20.100000000000001" customHeight="1">
      <c r="A29" s="399"/>
      <c r="B29" s="399"/>
      <c r="C29" s="399"/>
      <c r="D29" s="402"/>
      <c r="E29" s="174" t="s">
        <v>99</v>
      </c>
      <c r="F29" s="177"/>
      <c r="G29" s="177"/>
      <c r="H29" s="175">
        <v>30</v>
      </c>
      <c r="I29" s="177"/>
      <c r="J29" s="179"/>
      <c r="K29" s="179"/>
      <c r="L29" s="177"/>
      <c r="M29" s="175">
        <v>30</v>
      </c>
      <c r="N29" s="177"/>
      <c r="O29" s="179"/>
      <c r="P29" s="179"/>
      <c r="Q29" s="390"/>
    </row>
    <row r="30" spans="1:17">
      <c r="A30" s="391">
        <v>4</v>
      </c>
      <c r="B30" s="391"/>
      <c r="C30" s="391" t="s">
        <v>120</v>
      </c>
      <c r="D30" s="403" t="s">
        <v>121</v>
      </c>
      <c r="E30" s="170" t="s">
        <v>95</v>
      </c>
      <c r="F30" s="172"/>
      <c r="G30" s="172"/>
      <c r="H30" s="172"/>
      <c r="I30" s="172"/>
      <c r="J30" s="172"/>
      <c r="K30" s="172"/>
      <c r="L30" s="172"/>
      <c r="M30" s="172"/>
      <c r="N30" s="172"/>
      <c r="O30" s="172">
        <v>1</v>
      </c>
      <c r="P30" s="172"/>
      <c r="Q30" s="391" t="s">
        <v>122</v>
      </c>
    </row>
    <row r="31" spans="1:17" ht="66" customHeight="1">
      <c r="A31" s="391"/>
      <c r="B31" s="391"/>
      <c r="C31" s="391"/>
      <c r="D31" s="404"/>
      <c r="E31" s="181">
        <v>4</v>
      </c>
      <c r="F31" s="176"/>
      <c r="G31" s="182"/>
      <c r="H31" s="176"/>
      <c r="I31" s="176"/>
      <c r="J31" s="176"/>
      <c r="K31" s="176"/>
      <c r="L31" s="176"/>
      <c r="M31" s="176"/>
      <c r="N31" s="176"/>
      <c r="O31" s="175">
        <v>30</v>
      </c>
      <c r="P31" s="176"/>
      <c r="Q31" s="391"/>
    </row>
    <row r="33" spans="1:17">
      <c r="D33" s="183" t="s">
        <v>131</v>
      </c>
      <c r="E33" s="182" t="s">
        <v>126</v>
      </c>
      <c r="F33" s="176" t="s">
        <v>62</v>
      </c>
      <c r="G33" s="176" t="s">
        <v>63</v>
      </c>
      <c r="H33" s="176" t="s">
        <v>64</v>
      </c>
      <c r="I33" s="176" t="s">
        <v>65</v>
      </c>
      <c r="J33" s="176" t="s">
        <v>58</v>
      </c>
      <c r="K33" s="176" t="s">
        <v>59</v>
      </c>
      <c r="L33" s="176" t="s">
        <v>61</v>
      </c>
      <c r="M33" s="176" t="s">
        <v>55</v>
      </c>
      <c r="N33" s="176" t="s">
        <v>56</v>
      </c>
      <c r="O33" s="176" t="s">
        <v>57</v>
      </c>
      <c r="P33" s="176" t="s">
        <v>60</v>
      </c>
    </row>
    <row r="34" spans="1:17">
      <c r="D34" s="391" t="s">
        <v>269</v>
      </c>
      <c r="E34" s="182">
        <v>1</v>
      </c>
      <c r="F34" s="176">
        <f>F3*F$2+F7*F$6+F11*F$10+F15*F$14+F19*F$18+F23*F$22+F27*F$26</f>
        <v>45</v>
      </c>
      <c r="G34" s="176">
        <f t="shared" ref="G34:G36" si="0">G3*G$2+G7*G$6+G11*G$10+G15*G$14+G19*G$18+G23*G$22+G27*G$26</f>
        <v>45</v>
      </c>
      <c r="H34" s="176">
        <f t="shared" ref="H34:P34" si="1">H3*H$2+H7*H$6+H11*H$10+H15*H$14+H19*H$18+H23*H$22+H27*H$26</f>
        <v>235</v>
      </c>
      <c r="I34" s="176">
        <f t="shared" si="1"/>
        <v>90</v>
      </c>
      <c r="J34" s="176">
        <f t="shared" si="1"/>
        <v>40</v>
      </c>
      <c r="K34" s="176">
        <f t="shared" si="1"/>
        <v>70</v>
      </c>
      <c r="L34" s="176">
        <f t="shared" si="1"/>
        <v>15</v>
      </c>
      <c r="M34" s="176">
        <f t="shared" si="1"/>
        <v>30</v>
      </c>
      <c r="N34" s="176">
        <f t="shared" si="1"/>
        <v>15</v>
      </c>
      <c r="O34" s="176">
        <f t="shared" si="1"/>
        <v>15</v>
      </c>
      <c r="P34" s="176">
        <f t="shared" si="1"/>
        <v>45</v>
      </c>
    </row>
    <row r="35" spans="1:17">
      <c r="D35" s="391"/>
      <c r="E35" s="182">
        <v>2</v>
      </c>
      <c r="F35" s="176">
        <f>F4*F$2+F8*F$6+F12*F$10+F16*F$14+F20*F$18+F24*F$22+F28*F$26</f>
        <v>30</v>
      </c>
      <c r="G35" s="176">
        <f t="shared" si="0"/>
        <v>30</v>
      </c>
      <c r="H35" s="176">
        <f t="shared" ref="H35:P36" si="2">H4*H$2+H8*H$6+H12*H$10+H16*H$14+H20*H$18+H24*H$22+H28*H$26</f>
        <v>195</v>
      </c>
      <c r="I35" s="176">
        <f t="shared" si="2"/>
        <v>60</v>
      </c>
      <c r="J35" s="176">
        <f t="shared" si="2"/>
        <v>65</v>
      </c>
      <c r="K35" s="176">
        <f t="shared" si="2"/>
        <v>50</v>
      </c>
      <c r="L35" s="176">
        <f t="shared" si="2"/>
        <v>10</v>
      </c>
      <c r="M35" s="176">
        <f t="shared" si="2"/>
        <v>90</v>
      </c>
      <c r="N35" s="176">
        <f t="shared" si="2"/>
        <v>45</v>
      </c>
      <c r="O35" s="176">
        <f t="shared" si="2"/>
        <v>45</v>
      </c>
      <c r="P35" s="176">
        <f t="shared" si="2"/>
        <v>30</v>
      </c>
    </row>
    <row r="36" spans="1:17">
      <c r="D36" s="391"/>
      <c r="E36" s="182">
        <v>3</v>
      </c>
      <c r="F36" s="176">
        <f>F5*F$2+F9*F$6+F13*F$10+F17*F$14+F21*F$18+F25*F$22+F29*F$26</f>
        <v>15</v>
      </c>
      <c r="G36" s="176">
        <f t="shared" si="0"/>
        <v>15</v>
      </c>
      <c r="H36" s="176">
        <f t="shared" si="2"/>
        <v>110</v>
      </c>
      <c r="I36" s="176">
        <f t="shared" si="2"/>
        <v>30</v>
      </c>
      <c r="J36" s="176">
        <f t="shared" si="2"/>
        <v>45</v>
      </c>
      <c r="K36" s="176">
        <f t="shared" si="2"/>
        <v>30</v>
      </c>
      <c r="L36" s="176">
        <f t="shared" si="2"/>
        <v>5</v>
      </c>
      <c r="M36" s="176">
        <f t="shared" si="2"/>
        <v>60</v>
      </c>
      <c r="N36" s="176">
        <f t="shared" si="2"/>
        <v>30</v>
      </c>
      <c r="O36" s="176">
        <f t="shared" si="2"/>
        <v>30</v>
      </c>
      <c r="P36" s="176">
        <f t="shared" si="2"/>
        <v>15</v>
      </c>
    </row>
    <row r="37" spans="1:17">
      <c r="D37" s="391"/>
      <c r="E37" s="182">
        <v>4</v>
      </c>
      <c r="F37" s="176"/>
      <c r="G37" s="176"/>
      <c r="H37" s="176"/>
      <c r="I37" s="176"/>
      <c r="J37" s="176"/>
      <c r="K37" s="176"/>
      <c r="L37" s="176"/>
      <c r="M37" s="176"/>
      <c r="N37" s="176"/>
      <c r="O37" s="176">
        <f>O31*O30</f>
        <v>30</v>
      </c>
      <c r="P37" s="176"/>
    </row>
    <row r="38" spans="1:17">
      <c r="E38" s="182" t="s">
        <v>127</v>
      </c>
      <c r="F38" s="176">
        <f>SUM(F34:F37)</f>
        <v>90</v>
      </c>
      <c r="G38" s="176">
        <f t="shared" ref="G38:P38" si="3">SUM(G34:G37)</f>
        <v>90</v>
      </c>
      <c r="H38" s="176">
        <f t="shared" si="3"/>
        <v>540</v>
      </c>
      <c r="I38" s="176">
        <f t="shared" si="3"/>
        <v>180</v>
      </c>
      <c r="J38" s="176">
        <f t="shared" si="3"/>
        <v>150</v>
      </c>
      <c r="K38" s="176">
        <f t="shared" si="3"/>
        <v>150</v>
      </c>
      <c r="L38" s="176">
        <f t="shared" si="3"/>
        <v>30</v>
      </c>
      <c r="M38" s="176">
        <f t="shared" si="3"/>
        <v>180</v>
      </c>
      <c r="N38" s="176">
        <f t="shared" si="3"/>
        <v>90</v>
      </c>
      <c r="O38" s="176">
        <f t="shared" si="3"/>
        <v>120</v>
      </c>
      <c r="P38" s="176">
        <f t="shared" si="3"/>
        <v>90</v>
      </c>
    </row>
    <row r="39" spans="1:17">
      <c r="F39" s="184"/>
      <c r="G39" s="188"/>
      <c r="H39" s="184"/>
      <c r="I39" s="184"/>
      <c r="J39" s="184"/>
      <c r="K39" s="184"/>
      <c r="L39" s="184"/>
      <c r="M39" s="184"/>
      <c r="N39" s="184"/>
      <c r="O39" s="184"/>
      <c r="P39" s="184"/>
    </row>
    <row r="40" spans="1:17" ht="26.4">
      <c r="A40" s="160" t="s">
        <v>42</v>
      </c>
      <c r="B40" s="160" t="s">
        <v>43</v>
      </c>
      <c r="C40" s="160" t="s">
        <v>44</v>
      </c>
      <c r="E40" s="205" t="s">
        <v>124</v>
      </c>
      <c r="F40" s="206">
        <f>F38/90</f>
        <v>1</v>
      </c>
      <c r="G40" s="206">
        <f t="shared" ref="G40:P40" si="4">G38/90</f>
        <v>1</v>
      </c>
      <c r="H40" s="206">
        <f t="shared" si="4"/>
        <v>6</v>
      </c>
      <c r="I40" s="206">
        <f t="shared" si="4"/>
        <v>2</v>
      </c>
      <c r="J40" s="206">
        <f t="shared" si="4"/>
        <v>1.6666666666666667</v>
      </c>
      <c r="K40" s="206">
        <f t="shared" si="4"/>
        <v>1.6666666666666667</v>
      </c>
      <c r="L40" s="206">
        <f t="shared" si="4"/>
        <v>0.33333333333333331</v>
      </c>
      <c r="M40" s="206">
        <f t="shared" si="4"/>
        <v>2</v>
      </c>
      <c r="N40" s="206">
        <f t="shared" si="4"/>
        <v>1</v>
      </c>
      <c r="O40" s="206">
        <f t="shared" si="4"/>
        <v>1.3333333333333333</v>
      </c>
      <c r="P40" s="206">
        <f t="shared" si="4"/>
        <v>1</v>
      </c>
      <c r="Q40" s="207">
        <f>SUM(F40:P40)</f>
        <v>18.999999999999996</v>
      </c>
    </row>
    <row r="41" spans="1:17" ht="51" customHeight="1">
      <c r="A41" s="162">
        <f>B41*C41</f>
        <v>176</v>
      </c>
      <c r="B41" s="161">
        <v>22</v>
      </c>
      <c r="C41" s="162">
        <v>8</v>
      </c>
      <c r="Q41" s="185"/>
    </row>
    <row r="42" spans="1:17">
      <c r="E42" s="183" t="s">
        <v>132</v>
      </c>
      <c r="G42"/>
      <c r="Q42" s="185"/>
    </row>
    <row r="43" spans="1:17">
      <c r="D43" s="391" t="s">
        <v>270</v>
      </c>
      <c r="E43" s="182">
        <v>1</v>
      </c>
      <c r="F43" s="189">
        <f>F34/90*$A$41</f>
        <v>88</v>
      </c>
      <c r="G43" s="189">
        <f t="shared" ref="G43:P43" si="5">G34/90*$A$41</f>
        <v>88</v>
      </c>
      <c r="H43" s="189">
        <f t="shared" si="5"/>
        <v>459.55555555555554</v>
      </c>
      <c r="I43" s="189">
        <f t="shared" si="5"/>
        <v>176</v>
      </c>
      <c r="J43" s="189">
        <f t="shared" si="5"/>
        <v>78.222222222222214</v>
      </c>
      <c r="K43" s="189">
        <f t="shared" si="5"/>
        <v>136.88888888888889</v>
      </c>
      <c r="L43" s="189">
        <f t="shared" si="5"/>
        <v>29.333333333333332</v>
      </c>
      <c r="M43" s="189">
        <f t="shared" si="5"/>
        <v>58.666666666666664</v>
      </c>
      <c r="N43" s="189">
        <f t="shared" si="5"/>
        <v>29.333333333333332</v>
      </c>
      <c r="O43" s="189">
        <f t="shared" si="5"/>
        <v>29.333333333333332</v>
      </c>
      <c r="P43" s="189">
        <f t="shared" si="5"/>
        <v>88</v>
      </c>
      <c r="Q43" s="190">
        <f t="shared" ref="Q43:Q47" si="6">SUM(F43:P43)</f>
        <v>1261.333333333333</v>
      </c>
    </row>
    <row r="44" spans="1:17">
      <c r="D44" s="391"/>
      <c r="E44" s="182">
        <v>2</v>
      </c>
      <c r="F44" s="189">
        <f t="shared" ref="F44:P45" si="7">F35/90*$A$41</f>
        <v>58.666666666666664</v>
      </c>
      <c r="G44" s="189">
        <f t="shared" si="7"/>
        <v>58.666666666666664</v>
      </c>
      <c r="H44" s="189">
        <f t="shared" si="7"/>
        <v>381.33333333333331</v>
      </c>
      <c r="I44" s="189">
        <f t="shared" si="7"/>
        <v>117.33333333333333</v>
      </c>
      <c r="J44" s="189">
        <f t="shared" si="7"/>
        <v>127.11111111111111</v>
      </c>
      <c r="K44" s="189">
        <f t="shared" si="7"/>
        <v>97.777777777777786</v>
      </c>
      <c r="L44" s="189">
        <f t="shared" si="7"/>
        <v>19.555555555555554</v>
      </c>
      <c r="M44" s="189">
        <f t="shared" si="7"/>
        <v>176</v>
      </c>
      <c r="N44" s="189">
        <f t="shared" si="7"/>
        <v>88</v>
      </c>
      <c r="O44" s="189">
        <f t="shared" si="7"/>
        <v>88</v>
      </c>
      <c r="P44" s="189">
        <f t="shared" si="7"/>
        <v>58.666666666666664</v>
      </c>
      <c r="Q44" s="190">
        <f t="shared" si="6"/>
        <v>1271.1111111111111</v>
      </c>
    </row>
    <row r="45" spans="1:17">
      <c r="D45" s="391"/>
      <c r="E45" s="182">
        <v>3</v>
      </c>
      <c r="F45" s="189">
        <f t="shared" si="7"/>
        <v>29.333333333333332</v>
      </c>
      <c r="G45" s="189">
        <f t="shared" si="7"/>
        <v>29.333333333333332</v>
      </c>
      <c r="H45" s="189">
        <f t="shared" si="7"/>
        <v>215.11111111111114</v>
      </c>
      <c r="I45" s="189">
        <f t="shared" si="7"/>
        <v>58.666666666666664</v>
      </c>
      <c r="J45" s="189">
        <f t="shared" si="7"/>
        <v>88</v>
      </c>
      <c r="K45" s="189">
        <f t="shared" si="7"/>
        <v>58.666666666666664</v>
      </c>
      <c r="L45" s="189">
        <f t="shared" si="7"/>
        <v>9.7777777777777768</v>
      </c>
      <c r="M45" s="189">
        <f t="shared" si="7"/>
        <v>117.33333333333333</v>
      </c>
      <c r="N45" s="189">
        <f t="shared" si="7"/>
        <v>58.666666666666664</v>
      </c>
      <c r="O45" s="189">
        <f t="shared" si="7"/>
        <v>58.666666666666664</v>
      </c>
      <c r="P45" s="189">
        <f t="shared" si="7"/>
        <v>29.333333333333332</v>
      </c>
      <c r="Q45" s="190">
        <f t="shared" si="6"/>
        <v>752.88888888888891</v>
      </c>
    </row>
    <row r="46" spans="1:17">
      <c r="D46" s="391"/>
      <c r="E46" s="182">
        <v>4</v>
      </c>
      <c r="F46" s="189">
        <f>F37/90*176</f>
        <v>0</v>
      </c>
      <c r="G46" s="189">
        <f t="shared" ref="G46:P46" si="8">G37/90*176</f>
        <v>0</v>
      </c>
      <c r="H46" s="189">
        <f t="shared" si="8"/>
        <v>0</v>
      </c>
      <c r="I46" s="189">
        <f t="shared" si="8"/>
        <v>0</v>
      </c>
      <c r="J46" s="189">
        <f t="shared" si="8"/>
        <v>0</v>
      </c>
      <c r="K46" s="189">
        <f t="shared" si="8"/>
        <v>0</v>
      </c>
      <c r="L46" s="189">
        <f t="shared" si="8"/>
        <v>0</v>
      </c>
      <c r="M46" s="189">
        <f t="shared" si="8"/>
        <v>0</v>
      </c>
      <c r="N46" s="189">
        <f t="shared" si="8"/>
        <v>0</v>
      </c>
      <c r="O46" s="189">
        <f t="shared" si="8"/>
        <v>58.666666666666664</v>
      </c>
      <c r="P46" s="189">
        <f t="shared" si="8"/>
        <v>0</v>
      </c>
      <c r="Q46" s="190">
        <f t="shared" si="6"/>
        <v>58.666666666666664</v>
      </c>
    </row>
    <row r="47" spans="1:17">
      <c r="E47" s="182" t="s">
        <v>125</v>
      </c>
      <c r="F47" s="189">
        <f>SUM(F43:F46)</f>
        <v>176</v>
      </c>
      <c r="G47" s="189">
        <f t="shared" ref="G47:P47" si="9">SUM(G43:G46)</f>
        <v>176</v>
      </c>
      <c r="H47" s="189">
        <f t="shared" si="9"/>
        <v>1056</v>
      </c>
      <c r="I47" s="189">
        <f t="shared" si="9"/>
        <v>352</v>
      </c>
      <c r="J47" s="189">
        <f t="shared" si="9"/>
        <v>293.33333333333331</v>
      </c>
      <c r="K47" s="189">
        <f t="shared" si="9"/>
        <v>293.33333333333337</v>
      </c>
      <c r="L47" s="189">
        <f t="shared" si="9"/>
        <v>58.666666666666664</v>
      </c>
      <c r="M47" s="189">
        <f t="shared" si="9"/>
        <v>352</v>
      </c>
      <c r="N47" s="189">
        <f t="shared" si="9"/>
        <v>176</v>
      </c>
      <c r="O47" s="189">
        <f t="shared" si="9"/>
        <v>234.66666666666666</v>
      </c>
      <c r="P47" s="189">
        <f t="shared" si="9"/>
        <v>176</v>
      </c>
      <c r="Q47" s="190">
        <f t="shared" si="6"/>
        <v>3344</v>
      </c>
    </row>
    <row r="48" spans="1:17">
      <c r="F48" s="184">
        <f>F40*176</f>
        <v>176</v>
      </c>
      <c r="G48" s="184">
        <f t="shared" ref="G48:P48" si="10">G40*176</f>
        <v>176</v>
      </c>
      <c r="H48" s="184">
        <f t="shared" si="10"/>
        <v>1056</v>
      </c>
      <c r="I48" s="184">
        <f t="shared" si="10"/>
        <v>352</v>
      </c>
      <c r="J48" s="184">
        <f t="shared" si="10"/>
        <v>293.33333333333337</v>
      </c>
      <c r="K48" s="184">
        <f t="shared" si="10"/>
        <v>293.33333333333337</v>
      </c>
      <c r="L48" s="184">
        <f t="shared" si="10"/>
        <v>58.666666666666664</v>
      </c>
      <c r="M48" s="184">
        <f t="shared" si="10"/>
        <v>352</v>
      </c>
      <c r="N48" s="184">
        <f t="shared" si="10"/>
        <v>176</v>
      </c>
      <c r="O48" s="184">
        <f t="shared" si="10"/>
        <v>234.66666666666666</v>
      </c>
      <c r="P48" s="184">
        <f t="shared" si="10"/>
        <v>176</v>
      </c>
      <c r="Q48" s="186">
        <f>SUM(F48:P48)</f>
        <v>3344</v>
      </c>
    </row>
    <row r="49" spans="3:17">
      <c r="Q49" s="208"/>
    </row>
    <row r="50" spans="3:17">
      <c r="D50" s="183" t="s">
        <v>267</v>
      </c>
    </row>
    <row r="51" spans="3:17">
      <c r="D51" s="278" t="s">
        <v>271</v>
      </c>
      <c r="E51" s="278" t="s">
        <v>123</v>
      </c>
    </row>
    <row r="52" spans="3:17">
      <c r="C52">
        <v>20</v>
      </c>
      <c r="D52" s="383" t="s">
        <v>268</v>
      </c>
      <c r="E52" s="279">
        <v>1</v>
      </c>
      <c r="F52" s="184">
        <f>F$43/COUNT($E$52:$E$55)</f>
        <v>22</v>
      </c>
      <c r="G52" s="184">
        <f t="shared" ref="G52:P55" si="11">G$43/COUNT($E$52:$E$55)</f>
        <v>22</v>
      </c>
      <c r="H52" s="184">
        <f t="shared" si="11"/>
        <v>114.88888888888889</v>
      </c>
      <c r="I52" s="184">
        <f t="shared" si="11"/>
        <v>44</v>
      </c>
      <c r="J52" s="184">
        <f t="shared" si="11"/>
        <v>19.555555555555554</v>
      </c>
      <c r="K52" s="184">
        <f t="shared" si="11"/>
        <v>34.222222222222221</v>
      </c>
      <c r="L52" s="184">
        <f t="shared" si="11"/>
        <v>7.333333333333333</v>
      </c>
      <c r="M52" s="184">
        <f t="shared" si="11"/>
        <v>14.666666666666666</v>
      </c>
      <c r="N52" s="184">
        <f t="shared" si="11"/>
        <v>7.333333333333333</v>
      </c>
      <c r="O52" s="184">
        <f t="shared" si="11"/>
        <v>7.333333333333333</v>
      </c>
      <c r="P52" s="184">
        <f t="shared" si="11"/>
        <v>22</v>
      </c>
      <c r="Q52" s="184">
        <f>Q$43/COUNT($E$52:$E$55)</f>
        <v>315.33333333333326</v>
      </c>
    </row>
    <row r="53" spans="3:17">
      <c r="C53">
        <f>C52+1</f>
        <v>21</v>
      </c>
      <c r="D53" s="383"/>
      <c r="E53" s="279">
        <v>2</v>
      </c>
      <c r="F53" s="184">
        <f t="shared" ref="F53:F55" si="12">F$43/COUNT($E$52:$E$55)</f>
        <v>22</v>
      </c>
      <c r="G53" s="184">
        <f t="shared" si="11"/>
        <v>22</v>
      </c>
      <c r="H53" s="184">
        <f t="shared" si="11"/>
        <v>114.88888888888889</v>
      </c>
      <c r="I53" s="184">
        <f t="shared" si="11"/>
        <v>44</v>
      </c>
      <c r="J53" s="184">
        <f t="shared" si="11"/>
        <v>19.555555555555554</v>
      </c>
      <c r="K53" s="184">
        <f t="shared" si="11"/>
        <v>34.222222222222221</v>
      </c>
      <c r="L53" s="184">
        <f t="shared" si="11"/>
        <v>7.333333333333333</v>
      </c>
      <c r="M53" s="184">
        <f t="shared" si="11"/>
        <v>14.666666666666666</v>
      </c>
      <c r="N53" s="184">
        <f t="shared" si="11"/>
        <v>7.333333333333333</v>
      </c>
      <c r="O53" s="184">
        <f t="shared" si="11"/>
        <v>7.333333333333333</v>
      </c>
      <c r="P53" s="184">
        <f t="shared" si="11"/>
        <v>22</v>
      </c>
      <c r="Q53" s="184">
        <f>Q$43/COUNT($E$52:$E$55)</f>
        <v>315.33333333333326</v>
      </c>
    </row>
    <row r="54" spans="3:17">
      <c r="C54" s="226">
        <f t="shared" ref="C54:C85" si="13">C53+1</f>
        <v>22</v>
      </c>
      <c r="D54" s="383"/>
      <c r="E54" s="279">
        <v>3</v>
      </c>
      <c r="F54" s="184">
        <f t="shared" si="12"/>
        <v>22</v>
      </c>
      <c r="G54" s="184">
        <f t="shared" si="11"/>
        <v>22</v>
      </c>
      <c r="H54" s="184">
        <f t="shared" si="11"/>
        <v>114.88888888888889</v>
      </c>
      <c r="I54" s="184">
        <f t="shared" si="11"/>
        <v>44</v>
      </c>
      <c r="J54" s="184">
        <f t="shared" si="11"/>
        <v>19.555555555555554</v>
      </c>
      <c r="K54" s="184">
        <f t="shared" si="11"/>
        <v>34.222222222222221</v>
      </c>
      <c r="L54" s="184">
        <f t="shared" si="11"/>
        <v>7.333333333333333</v>
      </c>
      <c r="M54" s="184">
        <f t="shared" si="11"/>
        <v>14.666666666666666</v>
      </c>
      <c r="N54" s="184">
        <f t="shared" si="11"/>
        <v>7.333333333333333</v>
      </c>
      <c r="O54" s="184">
        <f t="shared" si="11"/>
        <v>7.333333333333333</v>
      </c>
      <c r="P54" s="184">
        <f t="shared" si="11"/>
        <v>22</v>
      </c>
      <c r="Q54" s="184">
        <f>Q$43/COUNT($E$52:$E$55)</f>
        <v>315.33333333333326</v>
      </c>
    </row>
    <row r="55" spans="3:17">
      <c r="C55" s="226">
        <f t="shared" si="13"/>
        <v>23</v>
      </c>
      <c r="D55" s="383"/>
      <c r="E55" s="279">
        <v>4</v>
      </c>
      <c r="F55" s="184">
        <f t="shared" si="12"/>
        <v>22</v>
      </c>
      <c r="G55" s="184">
        <f t="shared" si="11"/>
        <v>22</v>
      </c>
      <c r="H55" s="184">
        <f t="shared" si="11"/>
        <v>114.88888888888889</v>
      </c>
      <c r="I55" s="184">
        <f t="shared" si="11"/>
        <v>44</v>
      </c>
      <c r="J55" s="184">
        <f t="shared" si="11"/>
        <v>19.555555555555554</v>
      </c>
      <c r="K55" s="184">
        <f t="shared" si="11"/>
        <v>34.222222222222221</v>
      </c>
      <c r="L55" s="184">
        <f t="shared" si="11"/>
        <v>7.333333333333333</v>
      </c>
      <c r="M55" s="184">
        <f t="shared" si="11"/>
        <v>14.666666666666666</v>
      </c>
      <c r="N55" s="184">
        <f t="shared" si="11"/>
        <v>7.333333333333333</v>
      </c>
      <c r="O55" s="184">
        <f t="shared" si="11"/>
        <v>7.333333333333333</v>
      </c>
      <c r="P55" s="184">
        <f t="shared" si="11"/>
        <v>22</v>
      </c>
      <c r="Q55" s="184">
        <f>Q$43/COUNT($E$52:$E$55)</f>
        <v>315.33333333333326</v>
      </c>
    </row>
    <row r="56" spans="3:17">
      <c r="C56" s="226">
        <f t="shared" si="13"/>
        <v>24</v>
      </c>
      <c r="D56" s="384" t="s">
        <v>272</v>
      </c>
      <c r="E56" s="279">
        <v>5</v>
      </c>
      <c r="F56" s="280">
        <f t="shared" ref="F56:F65" si="14">F$44/COUNT($E$56:$E$65)</f>
        <v>5.8666666666666663</v>
      </c>
      <c r="G56" s="280">
        <f t="shared" ref="G56:Q65" si="15">G$44/COUNT($E$56:$E$65)</f>
        <v>5.8666666666666663</v>
      </c>
      <c r="H56" s="280">
        <f t="shared" si="15"/>
        <v>38.133333333333333</v>
      </c>
      <c r="I56" s="280">
        <f t="shared" si="15"/>
        <v>11.733333333333333</v>
      </c>
      <c r="J56" s="280">
        <f t="shared" si="15"/>
        <v>12.711111111111112</v>
      </c>
      <c r="K56" s="280">
        <f t="shared" si="15"/>
        <v>9.7777777777777786</v>
      </c>
      <c r="L56" s="280">
        <f t="shared" si="15"/>
        <v>1.9555555555555553</v>
      </c>
      <c r="M56" s="280">
        <f t="shared" si="15"/>
        <v>17.600000000000001</v>
      </c>
      <c r="N56" s="280">
        <f t="shared" si="15"/>
        <v>8.8000000000000007</v>
      </c>
      <c r="O56" s="280">
        <f t="shared" si="15"/>
        <v>8.8000000000000007</v>
      </c>
      <c r="P56" s="280">
        <f t="shared" si="15"/>
        <v>5.8666666666666663</v>
      </c>
      <c r="Q56" s="280">
        <f t="shared" si="15"/>
        <v>127.11111111111111</v>
      </c>
    </row>
    <row r="57" spans="3:17">
      <c r="C57" s="226">
        <f t="shared" si="13"/>
        <v>25</v>
      </c>
      <c r="D57" s="384"/>
      <c r="E57" s="279">
        <v>6</v>
      </c>
      <c r="F57" s="280">
        <f t="shared" si="14"/>
        <v>5.8666666666666663</v>
      </c>
      <c r="G57" s="280">
        <f t="shared" si="15"/>
        <v>5.8666666666666663</v>
      </c>
      <c r="H57" s="280">
        <f t="shared" si="15"/>
        <v>38.133333333333333</v>
      </c>
      <c r="I57" s="280">
        <f t="shared" si="15"/>
        <v>11.733333333333333</v>
      </c>
      <c r="J57" s="280">
        <f t="shared" si="15"/>
        <v>12.711111111111112</v>
      </c>
      <c r="K57" s="280">
        <f t="shared" si="15"/>
        <v>9.7777777777777786</v>
      </c>
      <c r="L57" s="280">
        <f t="shared" si="15"/>
        <v>1.9555555555555553</v>
      </c>
      <c r="M57" s="280">
        <f t="shared" si="15"/>
        <v>17.600000000000001</v>
      </c>
      <c r="N57" s="280">
        <f t="shared" si="15"/>
        <v>8.8000000000000007</v>
      </c>
      <c r="O57" s="280">
        <f t="shared" si="15"/>
        <v>8.8000000000000007</v>
      </c>
      <c r="P57" s="280">
        <f t="shared" si="15"/>
        <v>5.8666666666666663</v>
      </c>
      <c r="Q57" s="280">
        <f t="shared" si="15"/>
        <v>127.11111111111111</v>
      </c>
    </row>
    <row r="58" spans="3:17">
      <c r="C58" s="226">
        <f t="shared" si="13"/>
        <v>26</v>
      </c>
      <c r="D58" s="384"/>
      <c r="E58" s="279">
        <v>7</v>
      </c>
      <c r="F58" s="280">
        <f t="shared" si="14"/>
        <v>5.8666666666666663</v>
      </c>
      <c r="G58" s="280">
        <f t="shared" si="15"/>
        <v>5.8666666666666663</v>
      </c>
      <c r="H58" s="280">
        <f t="shared" si="15"/>
        <v>38.133333333333333</v>
      </c>
      <c r="I58" s="280">
        <f t="shared" si="15"/>
        <v>11.733333333333333</v>
      </c>
      <c r="J58" s="280">
        <f t="shared" si="15"/>
        <v>12.711111111111112</v>
      </c>
      <c r="K58" s="280">
        <f t="shared" si="15"/>
        <v>9.7777777777777786</v>
      </c>
      <c r="L58" s="280">
        <f t="shared" si="15"/>
        <v>1.9555555555555553</v>
      </c>
      <c r="M58" s="280">
        <f t="shared" si="15"/>
        <v>17.600000000000001</v>
      </c>
      <c r="N58" s="280">
        <f t="shared" si="15"/>
        <v>8.8000000000000007</v>
      </c>
      <c r="O58" s="280">
        <f t="shared" si="15"/>
        <v>8.8000000000000007</v>
      </c>
      <c r="P58" s="280">
        <f t="shared" si="15"/>
        <v>5.8666666666666663</v>
      </c>
      <c r="Q58" s="280">
        <f t="shared" si="15"/>
        <v>127.11111111111111</v>
      </c>
    </row>
    <row r="59" spans="3:17">
      <c r="C59" s="226">
        <f t="shared" si="13"/>
        <v>27</v>
      </c>
      <c r="D59" s="384"/>
      <c r="E59" s="279">
        <v>8</v>
      </c>
      <c r="F59" s="280">
        <f t="shared" si="14"/>
        <v>5.8666666666666663</v>
      </c>
      <c r="G59" s="280">
        <f t="shared" si="15"/>
        <v>5.8666666666666663</v>
      </c>
      <c r="H59" s="280">
        <f t="shared" si="15"/>
        <v>38.133333333333333</v>
      </c>
      <c r="I59" s="280">
        <f t="shared" si="15"/>
        <v>11.733333333333333</v>
      </c>
      <c r="J59" s="280">
        <f t="shared" si="15"/>
        <v>12.711111111111112</v>
      </c>
      <c r="K59" s="280">
        <f t="shared" si="15"/>
        <v>9.7777777777777786</v>
      </c>
      <c r="L59" s="280">
        <f t="shared" si="15"/>
        <v>1.9555555555555553</v>
      </c>
      <c r="M59" s="280">
        <f t="shared" si="15"/>
        <v>17.600000000000001</v>
      </c>
      <c r="N59" s="280">
        <f t="shared" si="15"/>
        <v>8.8000000000000007</v>
      </c>
      <c r="O59" s="280">
        <f t="shared" si="15"/>
        <v>8.8000000000000007</v>
      </c>
      <c r="P59" s="280">
        <f t="shared" si="15"/>
        <v>5.8666666666666663</v>
      </c>
      <c r="Q59" s="280">
        <f t="shared" si="15"/>
        <v>127.11111111111111</v>
      </c>
    </row>
    <row r="60" spans="3:17">
      <c r="C60" s="226">
        <f t="shared" si="13"/>
        <v>28</v>
      </c>
      <c r="D60" s="384"/>
      <c r="E60" s="279">
        <v>9</v>
      </c>
      <c r="F60" s="280">
        <f t="shared" si="14"/>
        <v>5.8666666666666663</v>
      </c>
      <c r="G60" s="280">
        <f t="shared" si="15"/>
        <v>5.8666666666666663</v>
      </c>
      <c r="H60" s="280">
        <f t="shared" si="15"/>
        <v>38.133333333333333</v>
      </c>
      <c r="I60" s="280">
        <f t="shared" si="15"/>
        <v>11.733333333333333</v>
      </c>
      <c r="J60" s="280">
        <f t="shared" si="15"/>
        <v>12.711111111111112</v>
      </c>
      <c r="K60" s="280">
        <f t="shared" si="15"/>
        <v>9.7777777777777786</v>
      </c>
      <c r="L60" s="280">
        <f t="shared" si="15"/>
        <v>1.9555555555555553</v>
      </c>
      <c r="M60" s="280">
        <f t="shared" si="15"/>
        <v>17.600000000000001</v>
      </c>
      <c r="N60" s="280">
        <f t="shared" si="15"/>
        <v>8.8000000000000007</v>
      </c>
      <c r="O60" s="280">
        <f t="shared" si="15"/>
        <v>8.8000000000000007</v>
      </c>
      <c r="P60" s="280">
        <f t="shared" si="15"/>
        <v>5.8666666666666663</v>
      </c>
      <c r="Q60" s="280">
        <f t="shared" si="15"/>
        <v>127.11111111111111</v>
      </c>
    </row>
    <row r="61" spans="3:17">
      <c r="C61" s="226">
        <f t="shared" si="13"/>
        <v>29</v>
      </c>
      <c r="D61" s="384"/>
      <c r="E61" s="279">
        <v>10</v>
      </c>
      <c r="F61" s="280">
        <f t="shared" si="14"/>
        <v>5.8666666666666663</v>
      </c>
      <c r="G61" s="280">
        <f t="shared" si="15"/>
        <v>5.8666666666666663</v>
      </c>
      <c r="H61" s="280">
        <f t="shared" si="15"/>
        <v>38.133333333333333</v>
      </c>
      <c r="I61" s="280">
        <f t="shared" si="15"/>
        <v>11.733333333333333</v>
      </c>
      <c r="J61" s="280">
        <f t="shared" si="15"/>
        <v>12.711111111111112</v>
      </c>
      <c r="K61" s="280">
        <f t="shared" si="15"/>
        <v>9.7777777777777786</v>
      </c>
      <c r="L61" s="280">
        <f t="shared" si="15"/>
        <v>1.9555555555555553</v>
      </c>
      <c r="M61" s="280">
        <f t="shared" si="15"/>
        <v>17.600000000000001</v>
      </c>
      <c r="N61" s="280">
        <f t="shared" si="15"/>
        <v>8.8000000000000007</v>
      </c>
      <c r="O61" s="280">
        <f t="shared" si="15"/>
        <v>8.8000000000000007</v>
      </c>
      <c r="P61" s="280">
        <f t="shared" si="15"/>
        <v>5.8666666666666663</v>
      </c>
      <c r="Q61" s="280">
        <f t="shared" si="15"/>
        <v>127.11111111111111</v>
      </c>
    </row>
    <row r="62" spans="3:17">
      <c r="C62" s="226">
        <f t="shared" si="13"/>
        <v>30</v>
      </c>
      <c r="D62" s="384"/>
      <c r="E62" s="279">
        <v>11</v>
      </c>
      <c r="F62" s="280">
        <f t="shared" si="14"/>
        <v>5.8666666666666663</v>
      </c>
      <c r="G62" s="280">
        <f t="shared" si="15"/>
        <v>5.8666666666666663</v>
      </c>
      <c r="H62" s="280">
        <f t="shared" si="15"/>
        <v>38.133333333333333</v>
      </c>
      <c r="I62" s="280">
        <f t="shared" si="15"/>
        <v>11.733333333333333</v>
      </c>
      <c r="J62" s="280">
        <f t="shared" si="15"/>
        <v>12.711111111111112</v>
      </c>
      <c r="K62" s="280">
        <f t="shared" si="15"/>
        <v>9.7777777777777786</v>
      </c>
      <c r="L62" s="280">
        <f t="shared" si="15"/>
        <v>1.9555555555555553</v>
      </c>
      <c r="M62" s="280">
        <f t="shared" si="15"/>
        <v>17.600000000000001</v>
      </c>
      <c r="N62" s="280">
        <f t="shared" si="15"/>
        <v>8.8000000000000007</v>
      </c>
      <c r="O62" s="280">
        <f t="shared" si="15"/>
        <v>8.8000000000000007</v>
      </c>
      <c r="P62" s="280">
        <f t="shared" si="15"/>
        <v>5.8666666666666663</v>
      </c>
      <c r="Q62" s="280">
        <f t="shared" si="15"/>
        <v>127.11111111111111</v>
      </c>
    </row>
    <row r="63" spans="3:17">
      <c r="C63" s="226">
        <f t="shared" si="13"/>
        <v>31</v>
      </c>
      <c r="D63" s="384"/>
      <c r="E63" s="279">
        <v>12</v>
      </c>
      <c r="F63" s="280">
        <f t="shared" si="14"/>
        <v>5.8666666666666663</v>
      </c>
      <c r="G63" s="280">
        <f t="shared" si="15"/>
        <v>5.8666666666666663</v>
      </c>
      <c r="H63" s="280">
        <f t="shared" si="15"/>
        <v>38.133333333333333</v>
      </c>
      <c r="I63" s="280">
        <f t="shared" si="15"/>
        <v>11.733333333333333</v>
      </c>
      <c r="J63" s="280">
        <f t="shared" si="15"/>
        <v>12.711111111111112</v>
      </c>
      <c r="K63" s="280">
        <f t="shared" si="15"/>
        <v>9.7777777777777786</v>
      </c>
      <c r="L63" s="280">
        <f t="shared" si="15"/>
        <v>1.9555555555555553</v>
      </c>
      <c r="M63" s="280">
        <f t="shared" si="15"/>
        <v>17.600000000000001</v>
      </c>
      <c r="N63" s="280">
        <f t="shared" si="15"/>
        <v>8.8000000000000007</v>
      </c>
      <c r="O63" s="280">
        <f t="shared" si="15"/>
        <v>8.8000000000000007</v>
      </c>
      <c r="P63" s="280">
        <f t="shared" si="15"/>
        <v>5.8666666666666663</v>
      </c>
      <c r="Q63" s="280">
        <f t="shared" si="15"/>
        <v>127.11111111111111</v>
      </c>
    </row>
    <row r="64" spans="3:17">
      <c r="C64" s="226">
        <f t="shared" si="13"/>
        <v>32</v>
      </c>
      <c r="D64" s="384"/>
      <c r="E64" s="279">
        <v>13</v>
      </c>
      <c r="F64" s="280">
        <f t="shared" si="14"/>
        <v>5.8666666666666663</v>
      </c>
      <c r="G64" s="280">
        <f t="shared" si="15"/>
        <v>5.8666666666666663</v>
      </c>
      <c r="H64" s="280">
        <f t="shared" si="15"/>
        <v>38.133333333333333</v>
      </c>
      <c r="I64" s="280">
        <f t="shared" si="15"/>
        <v>11.733333333333333</v>
      </c>
      <c r="J64" s="280">
        <f t="shared" si="15"/>
        <v>12.711111111111112</v>
      </c>
      <c r="K64" s="280">
        <f t="shared" si="15"/>
        <v>9.7777777777777786</v>
      </c>
      <c r="L64" s="280">
        <f t="shared" si="15"/>
        <v>1.9555555555555553</v>
      </c>
      <c r="M64" s="280">
        <f t="shared" si="15"/>
        <v>17.600000000000001</v>
      </c>
      <c r="N64" s="280">
        <f t="shared" si="15"/>
        <v>8.8000000000000007</v>
      </c>
      <c r="O64" s="280">
        <f t="shared" si="15"/>
        <v>8.8000000000000007</v>
      </c>
      <c r="P64" s="280">
        <f t="shared" si="15"/>
        <v>5.8666666666666663</v>
      </c>
      <c r="Q64" s="280">
        <f t="shared" si="15"/>
        <v>127.11111111111111</v>
      </c>
    </row>
    <row r="65" spans="3:17">
      <c r="C65" s="226">
        <f t="shared" si="13"/>
        <v>33</v>
      </c>
      <c r="D65" s="384"/>
      <c r="E65" s="279">
        <v>14</v>
      </c>
      <c r="F65" s="280">
        <f t="shared" si="14"/>
        <v>5.8666666666666663</v>
      </c>
      <c r="G65" s="280">
        <f t="shared" si="15"/>
        <v>5.8666666666666663</v>
      </c>
      <c r="H65" s="280">
        <f t="shared" si="15"/>
        <v>38.133333333333333</v>
      </c>
      <c r="I65" s="280">
        <f t="shared" si="15"/>
        <v>11.733333333333333</v>
      </c>
      <c r="J65" s="280">
        <f t="shared" si="15"/>
        <v>12.711111111111112</v>
      </c>
      <c r="K65" s="280">
        <f t="shared" si="15"/>
        <v>9.7777777777777786</v>
      </c>
      <c r="L65" s="280">
        <f t="shared" si="15"/>
        <v>1.9555555555555553</v>
      </c>
      <c r="M65" s="280">
        <f t="shared" si="15"/>
        <v>17.600000000000001</v>
      </c>
      <c r="N65" s="280">
        <f t="shared" si="15"/>
        <v>8.8000000000000007</v>
      </c>
      <c r="O65" s="280">
        <f t="shared" si="15"/>
        <v>8.8000000000000007</v>
      </c>
      <c r="P65" s="280">
        <f t="shared" si="15"/>
        <v>5.8666666666666663</v>
      </c>
      <c r="Q65" s="280">
        <f t="shared" si="15"/>
        <v>127.11111111111111</v>
      </c>
    </row>
    <row r="66" spans="3:17">
      <c r="C66" s="226">
        <f t="shared" si="13"/>
        <v>34</v>
      </c>
      <c r="D66" s="383" t="s">
        <v>273</v>
      </c>
      <c r="E66" s="279">
        <v>15</v>
      </c>
      <c r="F66" s="280">
        <f>F$45/COUNT($E$66:$E$70)</f>
        <v>5.8666666666666663</v>
      </c>
      <c r="G66" s="280">
        <f t="shared" ref="G66:Q70" si="16">G$45/COUNT($E$66:$E$70)</f>
        <v>5.8666666666666663</v>
      </c>
      <c r="H66" s="280">
        <f t="shared" si="16"/>
        <v>43.022222222222226</v>
      </c>
      <c r="I66" s="280">
        <f t="shared" si="16"/>
        <v>11.733333333333333</v>
      </c>
      <c r="J66" s="280">
        <f t="shared" si="16"/>
        <v>17.600000000000001</v>
      </c>
      <c r="K66" s="280">
        <f t="shared" si="16"/>
        <v>11.733333333333333</v>
      </c>
      <c r="L66" s="280">
        <f t="shared" si="16"/>
        <v>1.9555555555555553</v>
      </c>
      <c r="M66" s="280">
        <f t="shared" si="16"/>
        <v>23.466666666666665</v>
      </c>
      <c r="N66" s="280">
        <f t="shared" si="16"/>
        <v>11.733333333333333</v>
      </c>
      <c r="O66" s="280">
        <f t="shared" si="16"/>
        <v>11.733333333333333</v>
      </c>
      <c r="P66" s="280">
        <f t="shared" si="16"/>
        <v>5.8666666666666663</v>
      </c>
      <c r="Q66" s="280">
        <f t="shared" si="16"/>
        <v>150.57777777777778</v>
      </c>
    </row>
    <row r="67" spans="3:17">
      <c r="C67" s="226">
        <f t="shared" si="13"/>
        <v>35</v>
      </c>
      <c r="D67" s="383"/>
      <c r="E67" s="279">
        <v>16</v>
      </c>
      <c r="F67" s="280">
        <f t="shared" ref="F67:F70" si="17">F$45/COUNT($E$66:$E$70)</f>
        <v>5.8666666666666663</v>
      </c>
      <c r="G67" s="280">
        <f t="shared" si="16"/>
        <v>5.8666666666666663</v>
      </c>
      <c r="H67" s="280">
        <f t="shared" si="16"/>
        <v>43.022222222222226</v>
      </c>
      <c r="I67" s="280">
        <f t="shared" si="16"/>
        <v>11.733333333333333</v>
      </c>
      <c r="J67" s="280">
        <f t="shared" si="16"/>
        <v>17.600000000000001</v>
      </c>
      <c r="K67" s="280">
        <f t="shared" si="16"/>
        <v>11.733333333333333</v>
      </c>
      <c r="L67" s="280">
        <f t="shared" si="16"/>
        <v>1.9555555555555553</v>
      </c>
      <c r="M67" s="280">
        <f t="shared" si="16"/>
        <v>23.466666666666665</v>
      </c>
      <c r="N67" s="280">
        <f t="shared" si="16"/>
        <v>11.733333333333333</v>
      </c>
      <c r="O67" s="280">
        <f t="shared" si="16"/>
        <v>11.733333333333333</v>
      </c>
      <c r="P67" s="280">
        <f t="shared" si="16"/>
        <v>5.8666666666666663</v>
      </c>
      <c r="Q67" s="280">
        <f t="shared" si="16"/>
        <v>150.57777777777778</v>
      </c>
    </row>
    <row r="68" spans="3:17">
      <c r="C68" s="226">
        <f t="shared" si="13"/>
        <v>36</v>
      </c>
      <c r="D68" s="383"/>
      <c r="E68" s="279">
        <v>17</v>
      </c>
      <c r="F68" s="280">
        <f t="shared" si="17"/>
        <v>5.8666666666666663</v>
      </c>
      <c r="G68" s="280">
        <f t="shared" si="16"/>
        <v>5.8666666666666663</v>
      </c>
      <c r="H68" s="280">
        <f t="shared" si="16"/>
        <v>43.022222222222226</v>
      </c>
      <c r="I68" s="280">
        <f t="shared" si="16"/>
        <v>11.733333333333333</v>
      </c>
      <c r="J68" s="280">
        <f t="shared" si="16"/>
        <v>17.600000000000001</v>
      </c>
      <c r="K68" s="280">
        <f t="shared" si="16"/>
        <v>11.733333333333333</v>
      </c>
      <c r="L68" s="280">
        <f t="shared" si="16"/>
        <v>1.9555555555555553</v>
      </c>
      <c r="M68" s="280">
        <f t="shared" si="16"/>
        <v>23.466666666666665</v>
      </c>
      <c r="N68" s="280">
        <f t="shared" si="16"/>
        <v>11.733333333333333</v>
      </c>
      <c r="O68" s="280">
        <f t="shared" si="16"/>
        <v>11.733333333333333</v>
      </c>
      <c r="P68" s="280">
        <f t="shared" si="16"/>
        <v>5.8666666666666663</v>
      </c>
      <c r="Q68" s="280">
        <f t="shared" si="16"/>
        <v>150.57777777777778</v>
      </c>
    </row>
    <row r="69" spans="3:17">
      <c r="C69" s="226">
        <f t="shared" si="13"/>
        <v>37</v>
      </c>
      <c r="D69" s="383"/>
      <c r="E69" s="279">
        <v>18</v>
      </c>
      <c r="F69" s="280">
        <f t="shared" si="17"/>
        <v>5.8666666666666663</v>
      </c>
      <c r="G69" s="280">
        <f t="shared" si="16"/>
        <v>5.8666666666666663</v>
      </c>
      <c r="H69" s="280">
        <f t="shared" si="16"/>
        <v>43.022222222222226</v>
      </c>
      <c r="I69" s="280">
        <f t="shared" si="16"/>
        <v>11.733333333333333</v>
      </c>
      <c r="J69" s="280">
        <f t="shared" si="16"/>
        <v>17.600000000000001</v>
      </c>
      <c r="K69" s="280">
        <f t="shared" si="16"/>
        <v>11.733333333333333</v>
      </c>
      <c r="L69" s="280">
        <f t="shared" si="16"/>
        <v>1.9555555555555553</v>
      </c>
      <c r="M69" s="280">
        <f t="shared" si="16"/>
        <v>23.466666666666665</v>
      </c>
      <c r="N69" s="280">
        <f t="shared" si="16"/>
        <v>11.733333333333333</v>
      </c>
      <c r="O69" s="280">
        <f t="shared" si="16"/>
        <v>11.733333333333333</v>
      </c>
      <c r="P69" s="280">
        <f t="shared" si="16"/>
        <v>5.8666666666666663</v>
      </c>
      <c r="Q69" s="280">
        <f t="shared" si="16"/>
        <v>150.57777777777778</v>
      </c>
    </row>
    <row r="70" spans="3:17">
      <c r="C70" s="226">
        <f t="shared" si="13"/>
        <v>38</v>
      </c>
      <c r="D70" s="383"/>
      <c r="E70" s="279">
        <v>19</v>
      </c>
      <c r="F70" s="280">
        <f t="shared" si="17"/>
        <v>5.8666666666666663</v>
      </c>
      <c r="G70" s="280">
        <f t="shared" si="16"/>
        <v>5.8666666666666663</v>
      </c>
      <c r="H70" s="280">
        <f t="shared" si="16"/>
        <v>43.022222222222226</v>
      </c>
      <c r="I70" s="280">
        <f t="shared" si="16"/>
        <v>11.733333333333333</v>
      </c>
      <c r="J70" s="280">
        <f t="shared" si="16"/>
        <v>17.600000000000001</v>
      </c>
      <c r="K70" s="280">
        <f t="shared" si="16"/>
        <v>11.733333333333333</v>
      </c>
      <c r="L70" s="280">
        <f t="shared" si="16"/>
        <v>1.9555555555555553</v>
      </c>
      <c r="M70" s="280">
        <f t="shared" si="16"/>
        <v>23.466666666666665</v>
      </c>
      <c r="N70" s="280">
        <f t="shared" si="16"/>
        <v>11.733333333333333</v>
      </c>
      <c r="O70" s="280">
        <f t="shared" si="16"/>
        <v>11.733333333333333</v>
      </c>
      <c r="P70" s="280">
        <f t="shared" si="16"/>
        <v>5.8666666666666663</v>
      </c>
      <c r="Q70" s="280">
        <f t="shared" si="16"/>
        <v>150.57777777777778</v>
      </c>
    </row>
    <row r="71" spans="3:17">
      <c r="C71" s="226">
        <f t="shared" si="13"/>
        <v>39</v>
      </c>
      <c r="D71" s="385" t="s">
        <v>71</v>
      </c>
      <c r="E71" s="279">
        <v>20</v>
      </c>
      <c r="F71" s="280">
        <f>F$46/(COUNT($E$71:$E$85))</f>
        <v>0</v>
      </c>
      <c r="G71" s="280">
        <f t="shared" ref="G71:Q85" si="18">G$46/(COUNT($E$71:$E$85))</f>
        <v>0</v>
      </c>
      <c r="H71" s="280">
        <f t="shared" si="18"/>
        <v>0</v>
      </c>
      <c r="I71" s="280">
        <f t="shared" si="18"/>
        <v>0</v>
      </c>
      <c r="J71" s="280">
        <f t="shared" si="18"/>
        <v>0</v>
      </c>
      <c r="K71" s="280">
        <f t="shared" si="18"/>
        <v>0</v>
      </c>
      <c r="L71" s="280">
        <f t="shared" si="18"/>
        <v>0</v>
      </c>
      <c r="M71" s="280">
        <f t="shared" si="18"/>
        <v>0</v>
      </c>
      <c r="N71" s="280">
        <f t="shared" si="18"/>
        <v>0</v>
      </c>
      <c r="O71" s="280">
        <f t="shared" si="18"/>
        <v>3.911111111111111</v>
      </c>
      <c r="P71" s="280">
        <f t="shared" si="18"/>
        <v>0</v>
      </c>
      <c r="Q71" s="280">
        <f t="shared" si="18"/>
        <v>3.911111111111111</v>
      </c>
    </row>
    <row r="72" spans="3:17">
      <c r="C72" s="226">
        <f t="shared" si="13"/>
        <v>40</v>
      </c>
      <c r="D72" s="386"/>
      <c r="E72" s="279">
        <f>E71+1</f>
        <v>21</v>
      </c>
      <c r="F72" s="280">
        <f t="shared" ref="F72:F85" si="19">F$46/(COUNT($E$71:$E$85))</f>
        <v>0</v>
      </c>
      <c r="G72" s="280">
        <f t="shared" si="18"/>
        <v>0</v>
      </c>
      <c r="H72" s="280">
        <f t="shared" si="18"/>
        <v>0</v>
      </c>
      <c r="I72" s="280">
        <f t="shared" si="18"/>
        <v>0</v>
      </c>
      <c r="J72" s="280">
        <f t="shared" si="18"/>
        <v>0</v>
      </c>
      <c r="K72" s="280">
        <f t="shared" si="18"/>
        <v>0</v>
      </c>
      <c r="L72" s="280">
        <f t="shared" si="18"/>
        <v>0</v>
      </c>
      <c r="M72" s="280">
        <f t="shared" si="18"/>
        <v>0</v>
      </c>
      <c r="N72" s="280">
        <f t="shared" si="18"/>
        <v>0</v>
      </c>
      <c r="O72" s="280">
        <f t="shared" si="18"/>
        <v>3.911111111111111</v>
      </c>
      <c r="P72" s="280">
        <f t="shared" si="18"/>
        <v>0</v>
      </c>
      <c r="Q72" s="280">
        <f t="shared" si="18"/>
        <v>3.911111111111111</v>
      </c>
    </row>
    <row r="73" spans="3:17">
      <c r="C73" s="226">
        <f t="shared" si="13"/>
        <v>41</v>
      </c>
      <c r="D73" s="386"/>
      <c r="E73" s="279">
        <f t="shared" ref="E73:E85" si="20">E72+1</f>
        <v>22</v>
      </c>
      <c r="F73" s="280">
        <f t="shared" si="19"/>
        <v>0</v>
      </c>
      <c r="G73" s="280">
        <f t="shared" si="18"/>
        <v>0</v>
      </c>
      <c r="H73" s="280">
        <f t="shared" si="18"/>
        <v>0</v>
      </c>
      <c r="I73" s="280">
        <f t="shared" si="18"/>
        <v>0</v>
      </c>
      <c r="J73" s="280">
        <f t="shared" si="18"/>
        <v>0</v>
      </c>
      <c r="K73" s="280">
        <f t="shared" si="18"/>
        <v>0</v>
      </c>
      <c r="L73" s="280">
        <f t="shared" si="18"/>
        <v>0</v>
      </c>
      <c r="M73" s="280">
        <f t="shared" si="18"/>
        <v>0</v>
      </c>
      <c r="N73" s="280">
        <f t="shared" si="18"/>
        <v>0</v>
      </c>
      <c r="O73" s="280">
        <f t="shared" si="18"/>
        <v>3.911111111111111</v>
      </c>
      <c r="P73" s="280">
        <f t="shared" si="18"/>
        <v>0</v>
      </c>
      <c r="Q73" s="280">
        <f t="shared" si="18"/>
        <v>3.911111111111111</v>
      </c>
    </row>
    <row r="74" spans="3:17">
      <c r="C74" s="226">
        <f t="shared" si="13"/>
        <v>42</v>
      </c>
      <c r="D74" s="386"/>
      <c r="E74" s="279">
        <f t="shared" si="20"/>
        <v>23</v>
      </c>
      <c r="F74" s="280">
        <f t="shared" si="19"/>
        <v>0</v>
      </c>
      <c r="G74" s="280">
        <f t="shared" si="18"/>
        <v>0</v>
      </c>
      <c r="H74" s="280">
        <f t="shared" si="18"/>
        <v>0</v>
      </c>
      <c r="I74" s="280">
        <f t="shared" si="18"/>
        <v>0</v>
      </c>
      <c r="J74" s="280">
        <f t="shared" si="18"/>
        <v>0</v>
      </c>
      <c r="K74" s="280">
        <f t="shared" si="18"/>
        <v>0</v>
      </c>
      <c r="L74" s="280">
        <f t="shared" si="18"/>
        <v>0</v>
      </c>
      <c r="M74" s="280">
        <f t="shared" si="18"/>
        <v>0</v>
      </c>
      <c r="N74" s="280">
        <f t="shared" si="18"/>
        <v>0</v>
      </c>
      <c r="O74" s="280">
        <f t="shared" si="18"/>
        <v>3.911111111111111</v>
      </c>
      <c r="P74" s="280">
        <f t="shared" si="18"/>
        <v>0</v>
      </c>
      <c r="Q74" s="280">
        <f t="shared" si="18"/>
        <v>3.911111111111111</v>
      </c>
    </row>
    <row r="75" spans="3:17">
      <c r="C75" s="226">
        <f t="shared" si="13"/>
        <v>43</v>
      </c>
      <c r="D75" s="386"/>
      <c r="E75" s="279">
        <f t="shared" si="20"/>
        <v>24</v>
      </c>
      <c r="F75" s="280">
        <f t="shared" si="19"/>
        <v>0</v>
      </c>
      <c r="G75" s="280">
        <f t="shared" si="18"/>
        <v>0</v>
      </c>
      <c r="H75" s="280">
        <f t="shared" si="18"/>
        <v>0</v>
      </c>
      <c r="I75" s="280">
        <f t="shared" si="18"/>
        <v>0</v>
      </c>
      <c r="J75" s="280">
        <f t="shared" si="18"/>
        <v>0</v>
      </c>
      <c r="K75" s="280">
        <f t="shared" si="18"/>
        <v>0</v>
      </c>
      <c r="L75" s="280">
        <f t="shared" si="18"/>
        <v>0</v>
      </c>
      <c r="M75" s="280">
        <f t="shared" si="18"/>
        <v>0</v>
      </c>
      <c r="N75" s="280">
        <f t="shared" si="18"/>
        <v>0</v>
      </c>
      <c r="O75" s="280">
        <f t="shared" si="18"/>
        <v>3.911111111111111</v>
      </c>
      <c r="P75" s="280">
        <f t="shared" si="18"/>
        <v>0</v>
      </c>
      <c r="Q75" s="280">
        <f t="shared" si="18"/>
        <v>3.911111111111111</v>
      </c>
    </row>
    <row r="76" spans="3:17">
      <c r="C76" s="226">
        <f t="shared" si="13"/>
        <v>44</v>
      </c>
      <c r="D76" s="386"/>
      <c r="E76" s="279">
        <f t="shared" si="20"/>
        <v>25</v>
      </c>
      <c r="F76" s="280">
        <f t="shared" si="19"/>
        <v>0</v>
      </c>
      <c r="G76" s="280">
        <f t="shared" si="18"/>
        <v>0</v>
      </c>
      <c r="H76" s="280">
        <f t="shared" si="18"/>
        <v>0</v>
      </c>
      <c r="I76" s="280">
        <f t="shared" si="18"/>
        <v>0</v>
      </c>
      <c r="J76" s="280">
        <f t="shared" si="18"/>
        <v>0</v>
      </c>
      <c r="K76" s="280">
        <f t="shared" si="18"/>
        <v>0</v>
      </c>
      <c r="L76" s="280">
        <f t="shared" si="18"/>
        <v>0</v>
      </c>
      <c r="M76" s="280">
        <f t="shared" si="18"/>
        <v>0</v>
      </c>
      <c r="N76" s="280">
        <f t="shared" si="18"/>
        <v>0</v>
      </c>
      <c r="O76" s="280">
        <f t="shared" si="18"/>
        <v>3.911111111111111</v>
      </c>
      <c r="P76" s="280">
        <f t="shared" si="18"/>
        <v>0</v>
      </c>
      <c r="Q76" s="280">
        <f t="shared" si="18"/>
        <v>3.911111111111111</v>
      </c>
    </row>
    <row r="77" spans="3:17">
      <c r="C77" s="226">
        <f t="shared" si="13"/>
        <v>45</v>
      </c>
      <c r="D77" s="386"/>
      <c r="E77" s="279">
        <f t="shared" si="20"/>
        <v>26</v>
      </c>
      <c r="F77" s="280">
        <f t="shared" si="19"/>
        <v>0</v>
      </c>
      <c r="G77" s="280">
        <f t="shared" si="18"/>
        <v>0</v>
      </c>
      <c r="H77" s="280">
        <f t="shared" si="18"/>
        <v>0</v>
      </c>
      <c r="I77" s="280">
        <f t="shared" si="18"/>
        <v>0</v>
      </c>
      <c r="J77" s="280">
        <f t="shared" si="18"/>
        <v>0</v>
      </c>
      <c r="K77" s="280">
        <f t="shared" si="18"/>
        <v>0</v>
      </c>
      <c r="L77" s="280">
        <f t="shared" si="18"/>
        <v>0</v>
      </c>
      <c r="M77" s="280">
        <f t="shared" si="18"/>
        <v>0</v>
      </c>
      <c r="N77" s="280">
        <f t="shared" si="18"/>
        <v>0</v>
      </c>
      <c r="O77" s="280">
        <f>O$46/(COUNT($E$71:$E$85))</f>
        <v>3.911111111111111</v>
      </c>
      <c r="P77" s="280">
        <f t="shared" si="18"/>
        <v>0</v>
      </c>
      <c r="Q77" s="280">
        <f t="shared" si="18"/>
        <v>3.911111111111111</v>
      </c>
    </row>
    <row r="78" spans="3:17">
      <c r="C78" s="226">
        <f t="shared" si="13"/>
        <v>46</v>
      </c>
      <c r="D78" s="386"/>
      <c r="E78" s="279">
        <f t="shared" si="20"/>
        <v>27</v>
      </c>
      <c r="F78" s="280">
        <f t="shared" si="19"/>
        <v>0</v>
      </c>
      <c r="G78" s="280">
        <f t="shared" si="18"/>
        <v>0</v>
      </c>
      <c r="H78" s="280">
        <f t="shared" si="18"/>
        <v>0</v>
      </c>
      <c r="I78" s="280">
        <f t="shared" si="18"/>
        <v>0</v>
      </c>
      <c r="J78" s="280">
        <f t="shared" si="18"/>
        <v>0</v>
      </c>
      <c r="K78" s="280">
        <f t="shared" si="18"/>
        <v>0</v>
      </c>
      <c r="L78" s="280">
        <f t="shared" si="18"/>
        <v>0</v>
      </c>
      <c r="M78" s="280">
        <f t="shared" si="18"/>
        <v>0</v>
      </c>
      <c r="N78" s="280">
        <f t="shared" si="18"/>
        <v>0</v>
      </c>
      <c r="O78" s="280">
        <f t="shared" si="18"/>
        <v>3.911111111111111</v>
      </c>
      <c r="P78" s="280">
        <f t="shared" si="18"/>
        <v>0</v>
      </c>
      <c r="Q78" s="280">
        <f t="shared" si="18"/>
        <v>3.911111111111111</v>
      </c>
    </row>
    <row r="79" spans="3:17">
      <c r="C79" s="226">
        <f t="shared" si="13"/>
        <v>47</v>
      </c>
      <c r="D79" s="386"/>
      <c r="E79" s="279">
        <f t="shared" si="20"/>
        <v>28</v>
      </c>
      <c r="F79" s="280">
        <f t="shared" si="19"/>
        <v>0</v>
      </c>
      <c r="G79" s="280">
        <f t="shared" si="18"/>
        <v>0</v>
      </c>
      <c r="H79" s="280">
        <f t="shared" si="18"/>
        <v>0</v>
      </c>
      <c r="I79" s="280">
        <f t="shared" si="18"/>
        <v>0</v>
      </c>
      <c r="J79" s="280">
        <f t="shared" si="18"/>
        <v>0</v>
      </c>
      <c r="K79" s="280">
        <f t="shared" si="18"/>
        <v>0</v>
      </c>
      <c r="L79" s="280">
        <f t="shared" si="18"/>
        <v>0</v>
      </c>
      <c r="M79" s="280">
        <f t="shared" si="18"/>
        <v>0</v>
      </c>
      <c r="N79" s="280">
        <f t="shared" si="18"/>
        <v>0</v>
      </c>
      <c r="O79" s="280">
        <f t="shared" si="18"/>
        <v>3.911111111111111</v>
      </c>
      <c r="P79" s="280">
        <f t="shared" si="18"/>
        <v>0</v>
      </c>
      <c r="Q79" s="280">
        <f t="shared" si="18"/>
        <v>3.911111111111111</v>
      </c>
    </row>
    <row r="80" spans="3:17">
      <c r="C80" s="226">
        <f t="shared" si="13"/>
        <v>48</v>
      </c>
      <c r="D80" s="386"/>
      <c r="E80" s="279">
        <f t="shared" si="20"/>
        <v>29</v>
      </c>
      <c r="F80" s="280">
        <f t="shared" si="19"/>
        <v>0</v>
      </c>
      <c r="G80" s="280">
        <f t="shared" si="18"/>
        <v>0</v>
      </c>
      <c r="H80" s="280">
        <f t="shared" si="18"/>
        <v>0</v>
      </c>
      <c r="I80" s="280">
        <f t="shared" si="18"/>
        <v>0</v>
      </c>
      <c r="J80" s="280">
        <f t="shared" si="18"/>
        <v>0</v>
      </c>
      <c r="K80" s="280">
        <f t="shared" si="18"/>
        <v>0</v>
      </c>
      <c r="L80" s="280">
        <f t="shared" si="18"/>
        <v>0</v>
      </c>
      <c r="M80" s="280">
        <f t="shared" si="18"/>
        <v>0</v>
      </c>
      <c r="N80" s="280">
        <f t="shared" si="18"/>
        <v>0</v>
      </c>
      <c r="O80" s="280">
        <f t="shared" si="18"/>
        <v>3.911111111111111</v>
      </c>
      <c r="P80" s="280">
        <f t="shared" si="18"/>
        <v>0</v>
      </c>
      <c r="Q80" s="280">
        <f t="shared" si="18"/>
        <v>3.911111111111111</v>
      </c>
    </row>
    <row r="81" spans="3:17">
      <c r="C81" s="226">
        <f t="shared" si="13"/>
        <v>49</v>
      </c>
      <c r="D81" s="386"/>
      <c r="E81" s="279">
        <f t="shared" si="20"/>
        <v>30</v>
      </c>
      <c r="F81" s="280">
        <f t="shared" si="19"/>
        <v>0</v>
      </c>
      <c r="G81" s="280">
        <f t="shared" si="18"/>
        <v>0</v>
      </c>
      <c r="H81" s="280">
        <f t="shared" si="18"/>
        <v>0</v>
      </c>
      <c r="I81" s="280">
        <f t="shared" si="18"/>
        <v>0</v>
      </c>
      <c r="J81" s="280">
        <f t="shared" si="18"/>
        <v>0</v>
      </c>
      <c r="K81" s="280">
        <f t="shared" si="18"/>
        <v>0</v>
      </c>
      <c r="L81" s="280">
        <f t="shared" si="18"/>
        <v>0</v>
      </c>
      <c r="M81" s="280">
        <f t="shared" si="18"/>
        <v>0</v>
      </c>
      <c r="N81" s="280">
        <f t="shared" si="18"/>
        <v>0</v>
      </c>
      <c r="O81" s="280">
        <f t="shared" si="18"/>
        <v>3.911111111111111</v>
      </c>
      <c r="P81" s="280">
        <f t="shared" si="18"/>
        <v>0</v>
      </c>
      <c r="Q81" s="280">
        <f t="shared" si="18"/>
        <v>3.911111111111111</v>
      </c>
    </row>
    <row r="82" spans="3:17">
      <c r="C82" s="226">
        <f t="shared" si="13"/>
        <v>50</v>
      </c>
      <c r="D82" s="386"/>
      <c r="E82" s="279">
        <f t="shared" si="20"/>
        <v>31</v>
      </c>
      <c r="F82" s="280">
        <f t="shared" si="19"/>
        <v>0</v>
      </c>
      <c r="G82" s="280">
        <f t="shared" si="18"/>
        <v>0</v>
      </c>
      <c r="H82" s="280">
        <f t="shared" si="18"/>
        <v>0</v>
      </c>
      <c r="I82" s="280">
        <f t="shared" si="18"/>
        <v>0</v>
      </c>
      <c r="J82" s="280">
        <f t="shared" si="18"/>
        <v>0</v>
      </c>
      <c r="K82" s="280">
        <f t="shared" si="18"/>
        <v>0</v>
      </c>
      <c r="L82" s="280">
        <f t="shared" si="18"/>
        <v>0</v>
      </c>
      <c r="M82" s="280">
        <f t="shared" si="18"/>
        <v>0</v>
      </c>
      <c r="N82" s="280">
        <f t="shared" si="18"/>
        <v>0</v>
      </c>
      <c r="O82" s="280">
        <f t="shared" si="18"/>
        <v>3.911111111111111</v>
      </c>
      <c r="P82" s="280">
        <f t="shared" si="18"/>
        <v>0</v>
      </c>
      <c r="Q82" s="280">
        <f t="shared" si="18"/>
        <v>3.911111111111111</v>
      </c>
    </row>
    <row r="83" spans="3:17">
      <c r="C83" s="226">
        <f t="shared" si="13"/>
        <v>51</v>
      </c>
      <c r="D83" s="386"/>
      <c r="E83" s="279">
        <f t="shared" si="20"/>
        <v>32</v>
      </c>
      <c r="F83" s="280">
        <f t="shared" si="19"/>
        <v>0</v>
      </c>
      <c r="G83" s="280">
        <f t="shared" si="18"/>
        <v>0</v>
      </c>
      <c r="H83" s="280">
        <f t="shared" si="18"/>
        <v>0</v>
      </c>
      <c r="I83" s="280">
        <f t="shared" si="18"/>
        <v>0</v>
      </c>
      <c r="J83" s="280">
        <f t="shared" si="18"/>
        <v>0</v>
      </c>
      <c r="K83" s="280">
        <f t="shared" si="18"/>
        <v>0</v>
      </c>
      <c r="L83" s="280">
        <f t="shared" si="18"/>
        <v>0</v>
      </c>
      <c r="M83" s="280">
        <f t="shared" si="18"/>
        <v>0</v>
      </c>
      <c r="N83" s="280">
        <f t="shared" si="18"/>
        <v>0</v>
      </c>
      <c r="O83" s="280">
        <f>O$46/(COUNT($E$71:$E$85))</f>
        <v>3.911111111111111</v>
      </c>
      <c r="P83" s="280">
        <f t="shared" si="18"/>
        <v>0</v>
      </c>
      <c r="Q83" s="280">
        <f t="shared" si="18"/>
        <v>3.911111111111111</v>
      </c>
    </row>
    <row r="84" spans="3:17">
      <c r="C84" s="226">
        <f t="shared" si="13"/>
        <v>52</v>
      </c>
      <c r="D84" s="386"/>
      <c r="E84" s="279">
        <f t="shared" si="20"/>
        <v>33</v>
      </c>
      <c r="F84" s="280">
        <f t="shared" si="19"/>
        <v>0</v>
      </c>
      <c r="G84" s="280">
        <f t="shared" si="18"/>
        <v>0</v>
      </c>
      <c r="H84" s="280">
        <f t="shared" si="18"/>
        <v>0</v>
      </c>
      <c r="I84" s="280">
        <f t="shared" si="18"/>
        <v>0</v>
      </c>
      <c r="J84" s="280">
        <f t="shared" si="18"/>
        <v>0</v>
      </c>
      <c r="K84" s="280">
        <f t="shared" si="18"/>
        <v>0</v>
      </c>
      <c r="L84" s="280">
        <f t="shared" si="18"/>
        <v>0</v>
      </c>
      <c r="M84" s="280">
        <f t="shared" si="18"/>
        <v>0</v>
      </c>
      <c r="N84" s="280">
        <f t="shared" si="18"/>
        <v>0</v>
      </c>
      <c r="O84" s="280">
        <f t="shared" si="18"/>
        <v>3.911111111111111</v>
      </c>
      <c r="P84" s="280">
        <f t="shared" si="18"/>
        <v>0</v>
      </c>
      <c r="Q84" s="280">
        <f t="shared" si="18"/>
        <v>3.911111111111111</v>
      </c>
    </row>
    <row r="85" spans="3:17">
      <c r="C85" s="226">
        <f t="shared" si="13"/>
        <v>53</v>
      </c>
      <c r="D85" s="387"/>
      <c r="E85" s="279">
        <f t="shared" si="20"/>
        <v>34</v>
      </c>
      <c r="F85" s="280">
        <f t="shared" si="19"/>
        <v>0</v>
      </c>
      <c r="G85" s="280">
        <f t="shared" si="18"/>
        <v>0</v>
      </c>
      <c r="H85" s="280">
        <f t="shared" si="18"/>
        <v>0</v>
      </c>
      <c r="I85" s="280">
        <f t="shared" si="18"/>
        <v>0</v>
      </c>
      <c r="J85" s="280">
        <f t="shared" si="18"/>
        <v>0</v>
      </c>
      <c r="K85" s="280">
        <f t="shared" si="18"/>
        <v>0</v>
      </c>
      <c r="L85" s="280">
        <f t="shared" si="18"/>
        <v>0</v>
      </c>
      <c r="M85" s="280">
        <f t="shared" si="18"/>
        <v>0</v>
      </c>
      <c r="N85" s="280">
        <f t="shared" si="18"/>
        <v>0</v>
      </c>
      <c r="O85" s="280">
        <f>O$46/(COUNT($E$71:$E$85))</f>
        <v>3.911111111111111</v>
      </c>
      <c r="P85" s="280">
        <f t="shared" si="18"/>
        <v>0</v>
      </c>
      <c r="Q85" s="280">
        <f t="shared" si="18"/>
        <v>3.911111111111111</v>
      </c>
    </row>
  </sheetData>
  <sheetProtection algorithmName="SHA-512" hashValue="7COx7qyWzIZIo77Ke8rTbbVjI8b3FcOTRsdtWhWFUzvN3Ta+jYzDT+2tayicSLii0pXv4E9H+0xnK9ePH9JKIA==" saltValue="835yKIwJqG6gFLNpfmlDgw==" spinCount="100000" sheet="1" objects="1" scenarios="1"/>
  <mergeCells count="47">
    <mergeCell ref="A30:A31"/>
    <mergeCell ref="B30:B31"/>
    <mergeCell ref="C30:C31"/>
    <mergeCell ref="D30:D31"/>
    <mergeCell ref="Q30:Q31"/>
    <mergeCell ref="A22:A25"/>
    <mergeCell ref="B22:B25"/>
    <mergeCell ref="C22:C25"/>
    <mergeCell ref="D22:D25"/>
    <mergeCell ref="Q22:Q25"/>
    <mergeCell ref="A26:A29"/>
    <mergeCell ref="B26:B29"/>
    <mergeCell ref="C26:C29"/>
    <mergeCell ref="D26:D29"/>
    <mergeCell ref="Q26:Q29"/>
    <mergeCell ref="A14:A17"/>
    <mergeCell ref="B14:B17"/>
    <mergeCell ref="C14:C17"/>
    <mergeCell ref="D14:D17"/>
    <mergeCell ref="Q14:Q17"/>
    <mergeCell ref="A18:A21"/>
    <mergeCell ref="B18:B21"/>
    <mergeCell ref="C18:C21"/>
    <mergeCell ref="D18:D21"/>
    <mergeCell ref="Q18:Q21"/>
    <mergeCell ref="A6:A9"/>
    <mergeCell ref="B6:B9"/>
    <mergeCell ref="C6:C9"/>
    <mergeCell ref="D6:D9"/>
    <mergeCell ref="Q6:Q9"/>
    <mergeCell ref="A10:A13"/>
    <mergeCell ref="B10:B13"/>
    <mergeCell ref="C10:C13"/>
    <mergeCell ref="D10:D13"/>
    <mergeCell ref="Q10:Q13"/>
    <mergeCell ref="B1:C1"/>
    <mergeCell ref="A2:A5"/>
    <mergeCell ref="B2:B5"/>
    <mergeCell ref="C2:C5"/>
    <mergeCell ref="D2:D5"/>
    <mergeCell ref="D52:D55"/>
    <mergeCell ref="D56:D65"/>
    <mergeCell ref="D66:D70"/>
    <mergeCell ref="D71:D85"/>
    <mergeCell ref="Q2:Q5"/>
    <mergeCell ref="D34:D37"/>
    <mergeCell ref="D43:D46"/>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14</vt:i4>
      </vt:variant>
      <vt:variant>
        <vt:lpstr>Intervalos nomeados</vt:lpstr>
      </vt:variant>
      <vt:variant>
        <vt:i4>12</vt:i4>
      </vt:variant>
    </vt:vector>
  </HeadingPairs>
  <TitlesOfParts>
    <vt:vector size="26" baseType="lpstr">
      <vt:lpstr>Resumo</vt:lpstr>
      <vt:lpstr>Quadros resumos p TR</vt:lpstr>
      <vt:lpstr>Produtos Grupo A</vt:lpstr>
      <vt:lpstr>Produtos Grupo B</vt:lpstr>
      <vt:lpstr>Produtos Grupo C</vt:lpstr>
      <vt:lpstr>Produtos Grupo D</vt:lpstr>
      <vt:lpstr>Relatorios por grupo de produto</vt:lpstr>
      <vt:lpstr>Custo Gerencial</vt:lpstr>
      <vt:lpstr>Estimativa de horas por produto</vt:lpstr>
      <vt:lpstr>dimensionamento equipe -TR</vt:lpstr>
      <vt:lpstr>Custo mao de obra Dnit</vt:lpstr>
      <vt:lpstr>Custos diversos e BDI - DNIT</vt:lpstr>
      <vt:lpstr>calculo custos diversos</vt:lpstr>
      <vt:lpstr>softwares</vt:lpstr>
      <vt:lpstr>'Produtos Grupo A'!Area_de_impressao</vt:lpstr>
      <vt:lpstr>'Produtos Grupo B'!Area_de_impressao</vt:lpstr>
      <vt:lpstr>'Produtos Grupo C'!Area_de_impressao</vt:lpstr>
      <vt:lpstr>'Produtos Grupo D'!Area_de_impressao</vt:lpstr>
      <vt:lpstr>'Relatorios por grupo de produto'!Area_de_impressao</vt:lpstr>
      <vt:lpstr>Resumo!Area_de_impressao</vt:lpstr>
      <vt:lpstr>'Produtos Grupo A'!Titulos_de_impressao</vt:lpstr>
      <vt:lpstr>'Produtos Grupo B'!Titulos_de_impressao</vt:lpstr>
      <vt:lpstr>'Produtos Grupo C'!Titulos_de_impressao</vt:lpstr>
      <vt:lpstr>'Produtos Grupo D'!Titulos_de_impressao</vt:lpstr>
      <vt:lpstr>'Relatorios por grupo de produto'!Titulos_de_impressao</vt:lpstr>
      <vt:lpstr>Resumo!Titulos_de_impressao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Guilherme Oliveira Pires</dc:creator>
  <cp:lastModifiedBy>Carlos Elias Bastos dos Santos</cp:lastModifiedBy>
  <cp:lastPrinted>2020-11-25T23:03:41Z</cp:lastPrinted>
  <dcterms:created xsi:type="dcterms:W3CDTF">2018-08-09T13:46:39Z</dcterms:created>
  <dcterms:modified xsi:type="dcterms:W3CDTF">2020-12-03T11:44:17Z</dcterms:modified>
</cp:coreProperties>
</file>